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47240" windowHeight="26360" activeTab="0"/>
  </bookViews>
  <sheets>
    <sheet name="CUADRO Nº1" sheetId="1" r:id="rId1"/>
  </sheets>
  <definedNames>
    <definedName name="ac_R_Im" localSheetId="0">'CUADRO Nº1'!$AH$14:$AH$90</definedName>
    <definedName name="ac_R_Im">#REF!</definedName>
    <definedName name="ac_R_Re" localSheetId="0">'CUADRO Nº1'!$AG$14:$AG$90</definedName>
    <definedName name="ac_R_Re">#REF!</definedName>
    <definedName name="ac_S_Im" localSheetId="0">'CUADRO Nº1'!$AJ$14:$AJ$90</definedName>
    <definedName name="ac_S_Im">#REF!</definedName>
    <definedName name="ac_S_Re" localSheetId="0">'CUADRO Nº1'!$AI$14:$AI$90</definedName>
    <definedName name="ac_S_Re">#REF!</definedName>
    <definedName name="ac_T_Im" localSheetId="0">'CUADRO Nº1'!$AL$14:$AL$90</definedName>
    <definedName name="ac_T_Im">#REF!</definedName>
    <definedName name="ac_T_Re" localSheetId="0">'CUADRO Nº1'!$AK$14:$AK$90</definedName>
    <definedName name="ac_T_Re">#REF!</definedName>
    <definedName name="_xlnm.Print_Area" localSheetId="0">'CUADRO Nº1'!$A$1:$BA$90</definedName>
    <definedName name="CARGAS">#REF!</definedName>
    <definedName name="Config">'CUADRO Nº1'!$L$96:$L$106</definedName>
    <definedName name="e_V_R" localSheetId="0">'CUADRO Nº1'!$AM$14:$AM$90</definedName>
    <definedName name="e_V_R">#REF!</definedName>
    <definedName name="e_V_S" localSheetId="0">'CUADRO Nº1'!$AN$14:$AN$90</definedName>
    <definedName name="e_V_S">#REF!</definedName>
    <definedName name="e_V_T" localSheetId="0">'CUADRO Nº1'!$AO$14:$AO$90</definedName>
    <definedName name="e_V_T">#REF!</definedName>
    <definedName name="FASE" localSheetId="0">'CUADRO Nº1'!$J$14:$J$90</definedName>
    <definedName name="FASE">#REF!</definedName>
    <definedName name="FIN" localSheetId="0">'CUADRO Nº1'!$C$14:$C$90</definedName>
    <definedName name="FIN">#REF!</definedName>
    <definedName name="Imax" localSheetId="0">'CUADRO Nº1'!$AE$14:$AE$90</definedName>
    <definedName name="Imax">#REF!</definedName>
    <definedName name="Imax_RBT" localSheetId="0">'CUADRO Nº1'!$V$97:$AI$116</definedName>
    <definedName name="Imax_RBT">#REF!</definedName>
    <definedName name="INI" localSheetId="0">'CUADRO Nº1'!$B$14:$B$90</definedName>
    <definedName name="INI">#REF!</definedName>
    <definedName name="INI_FIN_PNOM" localSheetId="0">'CUADRO Nº1'!$B$15:$E$90</definedName>
    <definedName name="INI_FIN_PNOM">#REF!</definedName>
    <definedName name="INI_PNOM" localSheetId="0">'CUADRO Nº1'!$B$15:$B$90,'CUADRO Nº1'!$E$15:$E$90</definedName>
    <definedName name="INI_PNOM">#REF!,#REF!</definedName>
    <definedName name="LONG" localSheetId="0">'CUADRO Nº1'!$I$14:$I$90</definedName>
    <definedName name="LONG">#REF!</definedName>
    <definedName name="P_NOM" localSheetId="0">'CUADRO Nº1'!$E$14:$E$90</definedName>
    <definedName name="P_NOM">#REF!</definedName>
    <definedName name="Pasig" localSheetId="0">'CUADRO Nº1'!$T$14:$T$90</definedName>
    <definedName name="Pasig">#REF!</definedName>
    <definedName name="Perd">'CUADRO Nº1'!$BA$15:$BA$90</definedName>
    <definedName name="POT_RESULT" localSheetId="0">'CUADRO Nº1'!$T$14:$T$90</definedName>
    <definedName name="POT_RESULT">#REF!</definedName>
    <definedName name="Protecciones">'CUADRO Nº1'!$S$96:$T$116</definedName>
    <definedName name="R_IM" localSheetId="0">'CUADRO Nº1'!$X$14:$X$90</definedName>
    <definedName name="R_IM">#REF!</definedName>
    <definedName name="R_RE" localSheetId="0">'CUADRO Nº1'!$W$14:$W$90</definedName>
    <definedName name="R_RE">#REF!</definedName>
    <definedName name="S_IM" localSheetId="0">'CUADRO Nº1'!$Z$14:$Z$90</definedName>
    <definedName name="S_IM">#REF!</definedName>
    <definedName name="S_RE" localSheetId="0">'CUADRO Nº1'!$Y$14:$Y$90</definedName>
    <definedName name="S_RE">#REF!</definedName>
    <definedName name="SECC" localSheetId="0">'CUADRO Nº1'!$N$14:$N$90</definedName>
    <definedName name="SECC">#REF!</definedName>
    <definedName name="SECC_NORM" localSheetId="0">'CUADRO Nº1'!$I$96:$I$116</definedName>
    <definedName name="SECC_NORM">#REF!</definedName>
    <definedName name="T_IM" localSheetId="0">'CUADRO Nº1'!$AB$14:$AB$90</definedName>
    <definedName name="T_IM">#REF!</definedName>
    <definedName name="T_RE" localSheetId="0">'CUADRO Nº1'!$AA$14:$AA$90</definedName>
    <definedName name="T_RE">#REF!</definedName>
    <definedName name="_xlnm.Print_Titles" localSheetId="0">'CUADRO Nº1'!$A:$A,'CUADRO Nº1'!$12:$14</definedName>
    <definedName name="TUBOS">'CUADRO Nº1'!$O$95:$Q$110</definedName>
  </definedNames>
  <calcPr fullCalcOnLoad="1"/>
</workbook>
</file>

<file path=xl/comments1.xml><?xml version="1.0" encoding="utf-8"?>
<comments xmlns="http://schemas.openxmlformats.org/spreadsheetml/2006/main">
  <authors>
    <author>Evaluation Version</author>
    <author>Versi?n de prueba 30 d?as</author>
  </authors>
  <commentList>
    <comment ref="L14" authorId="0">
      <text>
        <r>
          <rPr>
            <b/>
            <sz val="8"/>
            <rFont val="Verdana"/>
            <family val="0"/>
          </rPr>
          <t xml:space="preserve">Según UNE 20.460-5-523:
</t>
        </r>
        <r>
          <rPr>
            <sz val="8"/>
            <rFont val="Verdana"/>
            <family val="0"/>
          </rPr>
          <t xml:space="preserve">
ART. 12.2 - TABLA 52-E1
Factores de reducción para agrupamiento de varios circuitos o de varios cables multiconductores
Cables agrupados en una superficie, empotrados o embutidos (entiendo que entubados también):</t>
        </r>
        <r>
          <rPr>
            <b/>
            <sz val="8"/>
            <rFont val="Verdana"/>
            <family val="0"/>
          </rPr>
          <t xml:space="preserve">
nº circuitos    Coef. corrección
1                       1,00
2                       0,80
3                       0,70 etc...
4, 5, 6, 7, 8, 9, 12, 16 y 20</t>
        </r>
        <r>
          <rPr>
            <sz val="9"/>
            <rFont val="Verdana"/>
            <family val="0"/>
          </rPr>
          <t xml:space="preserve">
</t>
        </r>
      </text>
    </comment>
    <comment ref="G14" authorId="1">
      <text>
        <r>
          <rPr>
            <b/>
            <sz val="9"/>
            <rFont val="Arial"/>
            <family val="0"/>
          </rPr>
          <t>Factor de simultaneidad:</t>
        </r>
        <r>
          <rPr>
            <sz val="9"/>
            <rFont val="Arial"/>
            <family val="0"/>
          </rPr>
          <t xml:space="preserve">
Afecta a la intensidad de cálculo asignada a este tramo. Valores inferiores a 1 la reducen.
</t>
        </r>
      </text>
    </comment>
    <comment ref="H14" authorId="1">
      <text>
        <r>
          <rPr>
            <b/>
            <sz val="9"/>
            <rFont val="Arial"/>
            <family val="0"/>
          </rPr>
          <t>Calibre de la protección:</t>
        </r>
        <r>
          <rPr>
            <sz val="9"/>
            <rFont val="Arial"/>
            <family val="0"/>
          </rPr>
          <t xml:space="preserve">
Asignación automática del calibre de la protección magnetotérmica normalizada, exigida por la máxima intensidad (en alguna fase) de cada tramo.</t>
        </r>
      </text>
    </comment>
    <comment ref="K14" authorId="1">
      <text>
        <r>
          <rPr>
            <b/>
            <sz val="9"/>
            <rFont val="Arial"/>
            <family val="0"/>
          </rPr>
          <t>Configuración del cableado:</t>
        </r>
        <r>
          <rPr>
            <sz val="9"/>
            <rFont val="Arial"/>
            <family val="0"/>
          </rPr>
          <t xml:space="preserve">
Asignación de la columna de intensidades máximas a la que corresponde la configuración del cableado asignada al tramo de entre las ofrecidas por la tabla 1 de la ITC-BT-09.</t>
        </r>
      </text>
    </comment>
    <comment ref="N14" authorId="1">
      <text>
        <r>
          <rPr>
            <b/>
            <sz val="9"/>
            <rFont val="Arial"/>
            <family val="0"/>
          </rPr>
          <t>Sección del conductor:</t>
        </r>
        <r>
          <rPr>
            <sz val="9"/>
            <rFont val="Arial"/>
            <family val="0"/>
          </rPr>
          <t xml:space="preserve">
Sección, en mm2, de cada hilo activo. El neutro se supone de igual sección.</t>
        </r>
      </text>
    </comment>
    <comment ref="O14" authorId="1">
      <text>
        <r>
          <rPr>
            <b/>
            <sz val="9"/>
            <rFont val="Arial"/>
            <family val="0"/>
          </rPr>
          <t>Diámetro mínimo del tubo:</t>
        </r>
        <r>
          <rPr>
            <sz val="9"/>
            <rFont val="Arial"/>
            <family val="0"/>
          </rPr>
          <t xml:space="preserve">
Si el tramo circula entubado, asignación automática del calibre mínimo exigible según la tabla 5 ITC-BT-20.</t>
        </r>
      </text>
    </comment>
    <comment ref="P14" authorId="1">
      <text>
        <r>
          <rPr>
            <b/>
            <sz val="9"/>
            <rFont val="Arial"/>
            <family val="0"/>
          </rPr>
          <t>Intensidad máxima admisible:</t>
        </r>
        <r>
          <rPr>
            <sz val="9"/>
            <rFont val="Arial"/>
            <family val="0"/>
          </rPr>
          <t xml:space="preserve">
Según la tabla 1 de la ITC-BT-19 para la configuración adoptada (columna J de esta hoja).</t>
        </r>
      </text>
    </comment>
    <comment ref="E14" authorId="1">
      <text>
        <r>
          <rPr>
            <b/>
            <sz val="9"/>
            <rFont val="Arial"/>
            <family val="0"/>
          </rPr>
          <t>Potencia nominal:</t>
        </r>
        <r>
          <rPr>
            <sz val="9"/>
            <rFont val="Arial"/>
            <family val="0"/>
          </rPr>
          <t xml:space="preserve">
Potencia en kW asignada al nudo FIN de cada tramo.
Si se trata de un nudo derivación sin carga específica aplicada a su final, dejar en blanco. La hoja le asigna la suma de potencias que cuelgan aguas abajo.
</t>
        </r>
      </text>
    </comment>
    <comment ref="J14" authorId="1">
      <text>
        <r>
          <rPr>
            <b/>
            <sz val="9"/>
            <rFont val="Arial"/>
            <family val="0"/>
          </rPr>
          <t>Fase eléctrica:</t>
        </r>
        <r>
          <rPr>
            <sz val="9"/>
            <rFont val="Arial"/>
            <family val="0"/>
          </rPr>
          <t xml:space="preserve">
Asignación de la fase o fases a las que se conecta la carga asignada en la columna P:NOM.
Si se trata de un nudo derivación sin carga específica asignada en su final, dejar en blanco.</t>
        </r>
      </text>
    </comment>
    <comment ref="I14" authorId="1">
      <text>
        <r>
          <rPr>
            <b/>
            <sz val="9"/>
            <rFont val="Arial"/>
            <family val="0"/>
          </rPr>
          <t>Longitud del tramo:</t>
        </r>
        <r>
          <rPr>
            <sz val="9"/>
            <rFont val="Arial"/>
            <family val="0"/>
          </rPr>
          <t xml:space="preserve">
Longitud en m del cableado de cada tramo.</t>
        </r>
      </text>
    </comment>
    <comment ref="Q14" authorId="1">
      <text>
        <r>
          <rPr>
            <b/>
            <sz val="9"/>
            <rFont val="Arial"/>
            <family val="0"/>
          </rPr>
          <t>Margen de seguridad del cable:</t>
        </r>
        <r>
          <rPr>
            <sz val="9"/>
            <rFont val="Arial"/>
            <family val="0"/>
          </rPr>
          <t xml:space="preserve">
Porcentaje de la intensidad admisible reglamentaria (columna IRBT anterior) no solicitada por la intensidad realmente transportada por este tramo.</t>
        </r>
      </text>
    </comment>
    <comment ref="R14" authorId="1">
      <text>
        <r>
          <rPr>
            <b/>
            <sz val="9"/>
            <rFont val="Arial"/>
            <family val="0"/>
          </rPr>
          <t>Caída de tensión (V):</t>
        </r>
        <r>
          <rPr>
            <sz val="9"/>
            <rFont val="Arial"/>
            <family val="0"/>
          </rPr>
          <t xml:space="preserve">
Diferencia entre la tensión simple (fase-neutro) al inicio de la instalación (celda R9) y al final del tramo, en voltios.</t>
        </r>
      </text>
    </comment>
    <comment ref="R9" authorId="1">
      <text>
        <r>
          <rPr>
            <b/>
            <sz val="9"/>
            <rFont val="Arial"/>
            <family val="0"/>
          </rPr>
          <t>Caída de tensión fija:</t>
        </r>
        <r>
          <rPr>
            <sz val="9"/>
            <rFont val="Arial"/>
            <family val="0"/>
          </rPr>
          <t xml:space="preserve">
Este valor incrementa todos los resultados de la columna e_V.
Suele utilizarse para tener en cuenta caídas de tensión ya producidas al inicio de la instalación que se calcula en esta tabla.</t>
        </r>
      </text>
    </comment>
    <comment ref="R10" authorId="1">
      <text>
        <r>
          <rPr>
            <b/>
            <sz val="9"/>
            <rFont val="Arial"/>
            <family val="0"/>
          </rPr>
          <t>Máxima caída de tensión admisible:</t>
        </r>
        <r>
          <rPr>
            <sz val="9"/>
            <rFont val="Arial"/>
            <family val="0"/>
          </rPr>
          <t xml:space="preserve">
El valor que se indique causa el cambio a rojo de los resultados superiores a él en la columna e_%.</t>
        </r>
      </text>
    </comment>
  </commentList>
</comments>
</file>

<file path=xl/sharedStrings.xml><?xml version="1.0" encoding="utf-8"?>
<sst xmlns="http://schemas.openxmlformats.org/spreadsheetml/2006/main" count="532" uniqueCount="317">
  <si>
    <t>ALUMBRADO</t>
  </si>
  <si>
    <t>CLIMATIZACIÓN</t>
  </si>
  <si>
    <t>FRÍO</t>
  </si>
  <si>
    <t>CAJAS MEGA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</si>
  <si>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</si>
  <si>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</si>
  <si>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</si>
  <si>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</si>
  <si>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</si>
  <si>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</si>
  <si>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</si>
  <si>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</si>
  <si>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</si>
  <si>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</si>
  <si>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</si>
  <si>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</si>
  <si>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</si>
  <si>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</si>
  <si>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</si>
  <si>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</si>
  <si>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</si>
  <si>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</si>
  <si>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</si>
  <si>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</si>
  <si>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CL1</t>
  </si>
  <si>
    <t>CL2</t>
  </si>
  <si>
    <t>CL4</t>
  </si>
  <si>
    <t>CL10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</si>
  <si>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</si>
  <si>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</si>
  <si>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</si>
  <si>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</si>
  <si>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</si>
  <si>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</si>
  <si>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</si>
  <si>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</si>
  <si>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</si>
  <si>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</si>
  <si>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</si>
  <si>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</si>
  <si>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</si>
  <si>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</si>
  <si>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</si>
  <si>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</si>
  <si>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</si>
  <si>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</si>
  <si>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</si>
  <si>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</si>
  <si>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</si>
  <si>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</si>
  <si>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</si>
  <si>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</si>
  <si>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</si>
  <si>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</si>
  <si>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</si>
  <si>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</si>
  <si>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</si>
  <si>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</si>
  <si>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</si>
  <si>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</si>
  <si>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</si>
  <si>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</si>
  <si>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</si>
  <si>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</si>
  <si>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</si>
  <si>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</si>
  <si>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Acometida</t>
  </si>
  <si>
    <t>Alumbrado</t>
  </si>
  <si>
    <t>Climatización</t>
  </si>
  <si>
    <t>Puertas</t>
  </si>
  <si>
    <t>Cajas y megafonía</t>
  </si>
  <si>
    <t>Cartel luminoso</t>
  </si>
  <si>
    <t>A.Entrada</t>
  </si>
  <si>
    <t>A.Cajas</t>
  </si>
  <si>
    <t>A.Frutería</t>
  </si>
  <si>
    <t>ALUMBRADO 1</t>
  </si>
  <si>
    <t>ALUMBRADO 2</t>
  </si>
  <si>
    <t>ALUMBRADO 3</t>
  </si>
  <si>
    <t>ALUMBRADO 4</t>
  </si>
  <si>
    <t>ALUMBRADO 5</t>
  </si>
  <si>
    <t>ALUMBRADO 6</t>
  </si>
  <si>
    <t>A.CONGE</t>
  </si>
  <si>
    <t>A.FRIGO</t>
  </si>
  <si>
    <t>A.ALMACÉN 1</t>
  </si>
  <si>
    <t>A.ALMACÉN 2</t>
  </si>
  <si>
    <t>A.ALMACÉN 3</t>
  </si>
  <si>
    <t>A.ALMACÉN 4</t>
  </si>
  <si>
    <t>A.ALMACÉN 5</t>
  </si>
  <si>
    <t>A. OFICINA 1</t>
  </si>
  <si>
    <t>A. OFICINA 2</t>
  </si>
  <si>
    <t>A.CÁMARAS</t>
  </si>
  <si>
    <t>A.BAÑOS</t>
  </si>
  <si>
    <t>BOMBACALOR 1</t>
  </si>
  <si>
    <t>BOMBACALOR 2</t>
  </si>
  <si>
    <t>BOMBAOFI</t>
  </si>
  <si>
    <t>TERMO</t>
  </si>
  <si>
    <t>FRIGO 1</t>
  </si>
  <si>
    <t>FRIGO 2</t>
  </si>
  <si>
    <t>FRIGO 3</t>
  </si>
  <si>
    <t>FRIGO 4</t>
  </si>
  <si>
    <t>FRIGO 5</t>
  </si>
  <si>
    <t>FRIGO 6</t>
  </si>
  <si>
    <t>FRIGOAL 1</t>
  </si>
  <si>
    <t>FRIGOAL 2</t>
  </si>
  <si>
    <t>FRIGOAL 3</t>
  </si>
  <si>
    <t>FRIGOAL 4</t>
  </si>
  <si>
    <t>CONGE 1</t>
  </si>
  <si>
    <t>CONGE 2</t>
  </si>
  <si>
    <t>CONGE 3</t>
  </si>
  <si>
    <t>CONGE 4</t>
  </si>
  <si>
    <t>CONGEAL 1</t>
  </si>
  <si>
    <t>CONGEAL 2</t>
  </si>
  <si>
    <t>CONGEAL 3</t>
  </si>
  <si>
    <t>CONGEAL 4</t>
  </si>
  <si>
    <t>HORNO</t>
  </si>
  <si>
    <t>CÁMARAS</t>
  </si>
  <si>
    <t>ALARMAS</t>
  </si>
  <si>
    <t>PUERTAS</t>
  </si>
  <si>
    <t>PANTALLAS Y ORDENADORES</t>
  </si>
  <si>
    <t>MEGAFONÍA 1</t>
  </si>
  <si>
    <t>MEGAFONÍA 2</t>
  </si>
  <si>
    <t>MEGAFONÍA 3</t>
  </si>
  <si>
    <t>MEGAFONÍA 4</t>
  </si>
  <si>
    <t>MEGAFONÍA 5</t>
  </si>
  <si>
    <t>CAJA 1</t>
  </si>
  <si>
    <t>CAJA 2</t>
  </si>
  <si>
    <t>CAJA 3</t>
  </si>
  <si>
    <t>CAJA 4</t>
  </si>
  <si>
    <t>CAJA 5</t>
  </si>
  <si>
    <t>CINTA 1</t>
  </si>
  <si>
    <t>CINTA 2</t>
  </si>
  <si>
    <t>CINTA 3</t>
  </si>
  <si>
    <t>CINTA 4</t>
  </si>
  <si>
    <t>CINTA 5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</si>
  <si>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</si>
  <si>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</si>
  <si>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</si>
  <si>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</si>
  <si>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</si>
  <si>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</si>
  <si>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</si>
  <si>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</si>
  <si>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</si>
  <si>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</si>
  <si>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</si>
  <si>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</si>
  <si>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</si>
  <si>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</si>
  <si>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</si>
  <si>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</si>
  <si>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</si>
  <si>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</si>
  <si>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</si>
  <si>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</si>
  <si>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</si>
  <si>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</si>
  <si>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</si>
  <si>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</si>
  <si>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</si>
  <si>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</si>
  <si>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</si>
  <si>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</si>
  <si>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</si>
  <si>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</si>
  <si>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fdp inst.</t>
  </si>
  <si>
    <t>Ø TUBOS ITC.BT-20 tabla 5</t>
  </si>
  <si>
    <t>ac_T_Im</t>
  </si>
  <si>
    <t>e_V_R</t>
  </si>
  <si>
    <t>e_V_S</t>
  </si>
  <si>
    <t>S_RE</t>
  </si>
  <si>
    <t>S_IM</t>
  </si>
  <si>
    <t>T_RE</t>
  </si>
  <si>
    <t>(A)</t>
  </si>
  <si>
    <t>CUADRO DE EJEMPLO</t>
  </si>
  <si>
    <t>RED</t>
  </si>
  <si>
    <t>Cálculo de la potencia aparente suministrada a partir de cada nudo FIN</t>
  </si>
  <si>
    <t>W</t>
  </si>
  <si>
    <t>Pérdidas</t>
  </si>
  <si>
    <t>por calentamiento</t>
  </si>
  <si>
    <t>Pérdidas (W)</t>
  </si>
  <si>
    <t>Config</t>
  </si>
  <si>
    <t>e_V</t>
  </si>
  <si>
    <t>SECC</t>
  </si>
  <si>
    <t>e_%</t>
  </si>
  <si>
    <t>mm2</t>
  </si>
  <si>
    <t>Fase act:</t>
  </si>
  <si>
    <t>Sí</t>
  </si>
  <si>
    <t>m</t>
  </si>
  <si>
    <t>Intensidades en cada tramo</t>
  </si>
  <si>
    <t>Resist.</t>
  </si>
  <si>
    <t>tramo</t>
  </si>
  <si>
    <t>(A) min</t>
  </si>
  <si>
    <t>Cálculo de la potencia aparente de la instalación</t>
  </si>
  <si>
    <t>Datos de la fila 15</t>
  </si>
  <si>
    <t>Vr x Ir*</t>
  </si>
  <si>
    <t>Re</t>
  </si>
  <si>
    <t>Im</t>
  </si>
  <si>
    <t>Vs x Is*</t>
  </si>
  <si>
    <t>Vt x It*</t>
  </si>
  <si>
    <t>Config.</t>
  </si>
  <si>
    <t>Un (V) =</t>
  </si>
  <si>
    <t>e% max ≤</t>
  </si>
  <si>
    <t>No</t>
  </si>
  <si>
    <t>Fase R</t>
  </si>
  <si>
    <t>Fase R + N</t>
  </si>
  <si>
    <t>Fase S + N</t>
  </si>
  <si>
    <t>Fase T + N</t>
  </si>
  <si>
    <t>Valores eficaces</t>
  </si>
  <si>
    <t>INI</t>
  </si>
  <si>
    <t>FIN</t>
  </si>
  <si>
    <t>LONG</t>
  </si>
  <si>
    <t>P_NOM</t>
  </si>
  <si>
    <t>COS_FI</t>
  </si>
  <si>
    <t>I_NOM</t>
  </si>
  <si>
    <t>N_RE</t>
  </si>
  <si>
    <t>N_IM</t>
  </si>
  <si>
    <t>L/KS</t>
  </si>
  <si>
    <t>ac_R_Re</t>
  </si>
  <si>
    <t>ac_R_Im</t>
  </si>
  <si>
    <t>ac_S_Re</t>
  </si>
  <si>
    <t>ac_S_Im</t>
  </si>
  <si>
    <t>ac_T_Re</t>
  </si>
  <si>
    <t>Pnom kW</t>
  </si>
  <si>
    <t>T_IM</t>
  </si>
  <si>
    <t>FASE</t>
  </si>
  <si>
    <t>Vn (V) =</t>
  </si>
  <si>
    <t>Fase S</t>
  </si>
  <si>
    <t>Fase T</t>
  </si>
  <si>
    <t>Neutro</t>
  </si>
  <si>
    <t>Inom (A)</t>
  </si>
  <si>
    <t>R</t>
  </si>
  <si>
    <t>S</t>
  </si>
  <si>
    <t>T</t>
  </si>
  <si>
    <t>RST</t>
  </si>
  <si>
    <t>Nº recep.</t>
  </si>
  <si>
    <t>e_V_T</t>
  </si>
  <si>
    <t>TABLAS AUXILIARES</t>
  </si>
  <si>
    <t>Tensión en cada nudo FIN</t>
  </si>
  <si>
    <t>Imax</t>
  </si>
  <si>
    <t>SEC</t>
  </si>
  <si>
    <t>-</t>
  </si>
  <si>
    <t>Ø TUBO</t>
  </si>
  <si>
    <t>Coef. corr.</t>
  </si>
  <si>
    <t>- -</t>
  </si>
  <si>
    <t>S(mm2)</t>
  </si>
  <si>
    <t>Cu</t>
  </si>
  <si>
    <t>Al</t>
  </si>
  <si>
    <t>(kVAr)</t>
  </si>
  <si>
    <t>P</t>
  </si>
  <si>
    <t>Q</t>
  </si>
  <si>
    <t>∆e fijo (V) =</t>
  </si>
  <si>
    <t>C. corr.</t>
  </si>
  <si>
    <t>I RBT</t>
  </si>
  <si>
    <t>R_RE</t>
  </si>
  <si>
    <t>R_IM</t>
  </si>
  <si>
    <t>(kW)</t>
  </si>
  <si>
    <t>Valores result.</t>
  </si>
  <si>
    <t>FS</t>
  </si>
  <si>
    <t>CÁLCULO FASORIAL DE INTENSIDADES Y CAÍDAS DE TENSIÓN</t>
  </si>
  <si>
    <t>FASES</t>
  </si>
  <si>
    <t>COND.</t>
  </si>
  <si>
    <t>Protecciones</t>
  </si>
  <si>
    <t>CARGA SIMULTÁNEA</t>
  </si>
  <si>
    <t>A1</t>
  </si>
  <si>
    <t>kWr</t>
  </si>
  <si>
    <t>Puede coincidir con la tabla 1 ITC-BT-19, o pueden rellenarse cualesquiera otros valores</t>
  </si>
  <si>
    <t>Tabla de Imax extraída del RBT para distintas configuraciones:</t>
  </si>
  <si>
    <t>MODIFICAR SOLO LAS CELDAS NO COLOREADAS</t>
  </si>
  <si>
    <t>Cu/Al</t>
  </si>
  <si>
    <t>%seg</t>
  </si>
  <si>
    <t>Snom</t>
  </si>
  <si>
    <t>kVA</t>
  </si>
  <si>
    <t>kW</t>
  </si>
  <si>
    <t>kVAr</t>
  </si>
  <si>
    <t>Qnom BatCond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</si>
  <si>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</si>
  <si>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</si>
  <si>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</si>
  <si>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</si>
  <si>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</si>
  <si>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</si>
  <si>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</si>
  <si>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</si>
  <si>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</si>
  <si>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</si>
  <si>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</si>
  <si>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</si>
  <si>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</si>
  <si>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</si>
  <si>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</si>
  <si>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</si>
  <si>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</si>
  <si>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</si>
  <si>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</si>
  <si>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</si>
  <si>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</si>
  <si>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</si>
  <si>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</si>
  <si>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</si>
  <si>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DESCRIPCIÓN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</si>
  <si>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</si>
  <si>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</si>
  <si>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</si>
  <si>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</si>
  <si>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</si>
  <si>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</si>
  <si>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</si>
  <si>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</si>
  <si>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</si>
  <si>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</si>
  <si>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</si>
  <si>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</si>
  <si>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</si>
  <si>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</si>
  <si>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</si>
  <si>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CPM</t>
  </si>
  <si>
    <t>C.GEN</t>
  </si>
</sst>
</file>

<file path=xl/styles.xml><?xml version="1.0" encoding="utf-8"?>
<styleSheet xmlns="http://schemas.openxmlformats.org/spreadsheetml/2006/main">
  <numFmts count="6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0\ &quot;€&quot;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000000"/>
    <numFmt numFmtId="196" formatCode="d/m/yyyy"/>
    <numFmt numFmtId="197" formatCode="#,##0.000"/>
    <numFmt numFmtId="198" formatCode="0.000000000"/>
    <numFmt numFmtId="199" formatCode="_-* #,##0.0\ _€_-;\-* #,##0.0\ _€_-;_-* &quot;-&quot;??\ _€_-;_-@_-"/>
    <numFmt numFmtId="200" formatCode="_-* #,##0\ _€_-;\-* #,##0\ _€_-;_-* &quot;-&quot;??\ _€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Neutro &quot;0"/>
    <numFmt numFmtId="206" formatCode="&quot;N &quot;0"/>
    <numFmt numFmtId="207" formatCode="0\ &quot;kW&quot;"/>
    <numFmt numFmtId="208" formatCode="&quot;&lt;&quot;\ 0\ &quot;m2&quot;"/>
    <numFmt numFmtId="209" formatCode="0\ &quot;VA/m2&quot;"/>
    <numFmt numFmtId="210" formatCode="0\ &quot;kVA&quot;"/>
    <numFmt numFmtId="211" formatCode="0.0%"/>
    <numFmt numFmtId="212" formatCode="#,##0&quot;Pts&quot;;\-#,##0&quot;Pts&quot;"/>
    <numFmt numFmtId="213" formatCode="#,##0&quot;Pts&quot;;[Red]\-#,##0&quot;Pts&quot;"/>
    <numFmt numFmtId="214" formatCode="#,##0.00&quot;Pts&quot;;\-#,##0.00&quot;Pts&quot;"/>
    <numFmt numFmtId="215" formatCode="#,##0.00&quot;Pts&quot;;[Red]\-#,##0.00&quot;Pts&quot;"/>
    <numFmt numFmtId="216" formatCode="_-* #,##0&quot;Pts&quot;_-;\-* #,##0&quot;Pts&quot;_-;_-* &quot;-&quot;&quot;Pts&quot;_-;_-@_-"/>
    <numFmt numFmtId="217" formatCode="_-* #,##0_P_t_s_-;\-* #,##0_P_t_s_-;_-* &quot;-&quot;_P_t_s_-;_-@_-"/>
    <numFmt numFmtId="218" formatCode="_-* #,##0.00&quot;Pts&quot;_-;\-* #,##0.00&quot;Pts&quot;_-;_-* &quot;-&quot;??&quot;Pts&quot;_-;_-@_-"/>
    <numFmt numFmtId="219" formatCode="_-* #,##0.00_P_t_s_-;\-* #,##0.00_P_t_s_-;_-* &quot;-&quot;??_P_t_s_-;_-@_-"/>
    <numFmt numFmtId="220" formatCode="00000"/>
    <numFmt numFmtId="221" formatCode="0.0&quot; kV&quot;"/>
    <numFmt numFmtId="222" formatCode="0.00&quot; m&quot;"/>
    <numFmt numFmtId="223" formatCode="0.00\ \º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 Narrow"/>
      <family val="0"/>
    </font>
    <font>
      <sz val="7"/>
      <name val="Arial"/>
      <family val="2"/>
    </font>
    <font>
      <sz val="1"/>
      <name val="Arial"/>
      <family val="0"/>
    </font>
    <font>
      <sz val="2.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10"/>
      <name val="Arial Narrow"/>
      <family val="2"/>
    </font>
    <font>
      <b/>
      <sz val="8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0"/>
      <name val="Arial Narrow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188" fontId="10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2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93" fontId="10" fillId="0" borderId="0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0" borderId="7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>
      <alignment horizontal="right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10" fillId="2" borderId="8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88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2" borderId="14" xfId="0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/>
    </xf>
    <xf numFmtId="188" fontId="10" fillId="0" borderId="8" xfId="0" applyNumberFormat="1" applyFont="1" applyFill="1" applyBorder="1" applyAlignment="1">
      <alignment horizontal="center"/>
    </xf>
    <xf numFmtId="193" fontId="10" fillId="3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10" fillId="3" borderId="8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2" borderId="3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0" fillId="2" borderId="4" xfId="0" applyNumberFormat="1" applyFont="1" applyFill="1" applyBorder="1" applyAlignment="1">
      <alignment horizontal="right"/>
    </xf>
    <xf numFmtId="1" fontId="10" fillId="2" borderId="7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left"/>
      <protection locked="0"/>
    </xf>
    <xf numFmtId="2" fontId="14" fillId="0" borderId="0" xfId="0" applyNumberFormat="1" applyFont="1" applyFill="1" applyBorder="1" applyAlignment="1">
      <alignment horizontal="left"/>
    </xf>
    <xf numFmtId="2" fontId="10" fillId="2" borderId="9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/>
    </xf>
    <xf numFmtId="188" fontId="10" fillId="2" borderId="10" xfId="0" applyNumberFormat="1" applyFont="1" applyFill="1" applyBorder="1" applyAlignment="1">
      <alignment horizontal="center"/>
    </xf>
    <xf numFmtId="188" fontId="10" fillId="2" borderId="9" xfId="0" applyNumberFormat="1" applyFont="1" applyFill="1" applyBorder="1" applyAlignment="1">
      <alignment horizontal="center"/>
    </xf>
    <xf numFmtId="188" fontId="10" fillId="3" borderId="0" xfId="0" applyNumberFormat="1" applyFont="1" applyFill="1" applyBorder="1" applyAlignment="1">
      <alignment horizontal="center"/>
    </xf>
    <xf numFmtId="188" fontId="10" fillId="3" borderId="6" xfId="0" applyNumberFormat="1" applyFont="1" applyFill="1" applyBorder="1" applyAlignment="1">
      <alignment horizontal="center"/>
    </xf>
    <xf numFmtId="188" fontId="10" fillId="2" borderId="11" xfId="0" applyNumberFormat="1" applyFont="1" applyFill="1" applyBorder="1" applyAlignment="1">
      <alignment horizontal="center"/>
    </xf>
    <xf numFmtId="188" fontId="10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188" fontId="10" fillId="3" borderId="6" xfId="0" applyNumberFormat="1" applyFont="1" applyFill="1" applyBorder="1" applyAlignment="1" applyProtection="1">
      <alignment horizontal="center"/>
      <protection locked="0"/>
    </xf>
    <xf numFmtId="206" fontId="10" fillId="3" borderId="7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188" fontId="10" fillId="4" borderId="0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2" fontId="10" fillId="3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88" fontId="10" fillId="3" borderId="2" xfId="0" applyNumberFormat="1" applyFont="1" applyFill="1" applyBorder="1" applyAlignment="1">
      <alignment horizontal="center"/>
    </xf>
    <xf numFmtId="188" fontId="10" fillId="4" borderId="2" xfId="0" applyNumberFormat="1" applyFont="1" applyFill="1" applyBorder="1" applyAlignment="1">
      <alignment horizontal="center"/>
    </xf>
    <xf numFmtId="188" fontId="10" fillId="4" borderId="4" xfId="0" applyNumberFormat="1" applyFont="1" applyFill="1" applyBorder="1" applyAlignment="1">
      <alignment horizontal="center"/>
    </xf>
    <xf numFmtId="188" fontId="10" fillId="4" borderId="7" xfId="0" applyNumberFormat="1" applyFont="1" applyFill="1" applyBorder="1" applyAlignment="1">
      <alignment horizontal="center"/>
    </xf>
    <xf numFmtId="193" fontId="10" fillId="4" borderId="6" xfId="0" applyNumberFormat="1" applyFont="1" applyFill="1" applyBorder="1" applyAlignment="1">
      <alignment horizontal="center"/>
    </xf>
    <xf numFmtId="188" fontId="10" fillId="4" borderId="6" xfId="0" applyNumberFormat="1" applyFont="1" applyFill="1" applyBorder="1" applyAlignment="1">
      <alignment horizontal="center"/>
    </xf>
    <xf numFmtId="188" fontId="10" fillId="4" borderId="1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88" fontId="10" fillId="5" borderId="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10" fillId="2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>
      <alignment horizontal="center"/>
    </xf>
    <xf numFmtId="188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 applyProtection="1">
      <alignment horizontal="center"/>
      <protection hidden="1"/>
    </xf>
    <xf numFmtId="0" fontId="10" fillId="0" borderId="5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center"/>
    </xf>
    <xf numFmtId="188" fontId="10" fillId="0" borderId="1" xfId="0" applyNumberFormat="1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/>
      <protection locked="0"/>
    </xf>
    <xf numFmtId="206" fontId="10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88" fontId="10" fillId="2" borderId="2" xfId="0" applyNumberFormat="1" applyFont="1" applyFill="1" applyBorder="1" applyAlignment="1">
      <alignment/>
    </xf>
    <xf numFmtId="188" fontId="10" fillId="2" borderId="2" xfId="0" applyNumberFormat="1" applyFont="1" applyFill="1" applyBorder="1" applyAlignment="1">
      <alignment horizontal="right"/>
    </xf>
    <xf numFmtId="2" fontId="10" fillId="2" borderId="6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8" fontId="10" fillId="2" borderId="6" xfId="0" applyNumberFormat="1" applyFont="1" applyFill="1" applyBorder="1" applyAlignment="1">
      <alignment horizontal="center"/>
    </xf>
    <xf numFmtId="188" fontId="10" fillId="2" borderId="1" xfId="0" applyNumberFormat="1" applyFont="1" applyFill="1" applyBorder="1" applyAlignment="1">
      <alignment horizontal="center"/>
    </xf>
    <xf numFmtId="0" fontId="10" fillId="0" borderId="8" xfId="0" applyFont="1" applyFill="1" applyBorder="1" applyAlignment="1" applyProtection="1">
      <alignment horizontal="center"/>
      <protection locked="0"/>
    </xf>
    <xf numFmtId="193" fontId="10" fillId="0" borderId="0" xfId="0" applyNumberFormat="1" applyFont="1" applyFill="1" applyBorder="1" applyAlignment="1" applyProtection="1">
      <alignment horizontal="center"/>
      <protection locked="0"/>
    </xf>
    <xf numFmtId="188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2" fontId="10" fillId="0" borderId="7" xfId="0" applyNumberFormat="1" applyFont="1" applyBorder="1" applyAlignment="1" quotePrefix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188" fontId="10" fillId="0" borderId="7" xfId="0" applyNumberFormat="1" applyFont="1" applyBorder="1" applyAlignment="1">
      <alignment horizontal="center"/>
    </xf>
    <xf numFmtId="188" fontId="10" fillId="0" borderId="7" xfId="0" applyNumberFormat="1" applyFont="1" applyFill="1" applyBorder="1" applyAlignment="1">
      <alignment/>
    </xf>
    <xf numFmtId="188" fontId="10" fillId="0" borderId="1" xfId="0" applyNumberFormat="1" applyFont="1" applyFill="1" applyBorder="1" applyAlignment="1">
      <alignment/>
    </xf>
    <xf numFmtId="1" fontId="10" fillId="0" borderId="7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  <xf numFmtId="1" fontId="10" fillId="3" borderId="5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88" fontId="10" fillId="0" borderId="2" xfId="0" applyNumberFormat="1" applyFont="1" applyBorder="1" applyAlignment="1">
      <alignment horizontal="center"/>
    </xf>
    <xf numFmtId="188" fontId="10" fillId="0" borderId="4" xfId="0" applyNumberFormat="1" applyFont="1" applyBorder="1" applyAlignment="1">
      <alignment horizontal="center"/>
    </xf>
    <xf numFmtId="2" fontId="10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188" fontId="10" fillId="0" borderId="6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1" fontId="10" fillId="3" borderId="7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2" borderId="15" xfId="0" applyNumberFormat="1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right"/>
      <protection hidden="1"/>
    </xf>
    <xf numFmtId="0" fontId="10" fillId="0" borderId="12" xfId="0" applyNumberFormat="1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1" fontId="10" fillId="3" borderId="14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1" fontId="10" fillId="3" borderId="2" xfId="0" applyNumberFormat="1" applyFont="1" applyFill="1" applyBorder="1" applyAlignment="1">
      <alignment/>
    </xf>
    <xf numFmtId="1" fontId="10" fillId="3" borderId="4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1" fontId="10" fillId="3" borderId="0" xfId="0" applyNumberFormat="1" applyFont="1" applyFill="1" applyBorder="1" applyAlignment="1">
      <alignment/>
    </xf>
    <xf numFmtId="1" fontId="10" fillId="3" borderId="7" xfId="0" applyNumberFormat="1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188" fontId="10" fillId="4" borderId="12" xfId="0" applyNumberFormat="1" applyFont="1" applyFill="1" applyBorder="1" applyAlignment="1">
      <alignment/>
    </xf>
    <xf numFmtId="188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0" borderId="0" xfId="0" applyFont="1" applyAlignment="1" applyProtection="1">
      <alignment horizontal="center"/>
      <protection locked="0"/>
    </xf>
    <xf numFmtId="188" fontId="10" fillId="5" borderId="0" xfId="0" applyNumberFormat="1" applyFont="1" applyFill="1" applyBorder="1" applyAlignment="1">
      <alignment horizontal="center"/>
    </xf>
    <xf numFmtId="192" fontId="10" fillId="4" borderId="2" xfId="0" applyNumberFormat="1" applyFont="1" applyFill="1" applyBorder="1" applyAlignment="1">
      <alignment horizontal="center"/>
    </xf>
    <xf numFmtId="192" fontId="10" fillId="4" borderId="0" xfId="0" applyNumberFormat="1" applyFont="1" applyFill="1" applyBorder="1" applyAlignment="1">
      <alignment horizontal="center"/>
    </xf>
    <xf numFmtId="192" fontId="10" fillId="4" borderId="6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88" fontId="10" fillId="2" borderId="12" xfId="0" applyNumberFormat="1" applyFont="1" applyFill="1" applyBorder="1" applyAlignment="1">
      <alignment horizontal="center"/>
    </xf>
    <xf numFmtId="188" fontId="10" fillId="3" borderId="11" xfId="0" applyNumberFormat="1" applyFont="1" applyFill="1" applyBorder="1" applyAlignment="1">
      <alignment horizontal="center"/>
    </xf>
    <xf numFmtId="188" fontId="10" fillId="3" borderId="14" xfId="0" applyNumberFormat="1" applyFont="1" applyFill="1" applyBorder="1" applyAlignment="1">
      <alignment horizontal="center"/>
    </xf>
    <xf numFmtId="188" fontId="10" fillId="2" borderId="3" xfId="0" applyNumberFormat="1" applyFont="1" applyFill="1" applyBorder="1" applyAlignment="1">
      <alignment horizontal="center"/>
    </xf>
    <xf numFmtId="188" fontId="10" fillId="2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000000"/>
      </font>
      <border/>
    </dxf>
    <dxf>
      <font>
        <b/>
        <i val="0"/>
      </font>
      <border/>
    </dxf>
    <dxf>
      <font>
        <color rgb="FFDD0806"/>
      </font>
      <border/>
    </dxf>
    <dxf>
      <font>
        <strike/>
      </font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Potencias asignadas (kW)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'CUADRO Nº1'!$K$4:$N$4</c:f>
              <c:strCache/>
            </c:strRef>
          </c:cat>
          <c:val>
            <c:numRef>
              <c:f>'CUADRO Nº1'!$K$6:$N$6</c:f>
              <c:numCache/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At val="0"/>
        <c:auto val="1"/>
        <c:lblOffset val="100"/>
        <c:noMultiLvlLbl val="0"/>
      </c:catAx>
      <c:valAx>
        <c:axId val="39216269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70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Intensidades en el origen (A)</a:t>
            </a:r>
          </a:p>
        </c:rich>
      </c:tx>
      <c:layout>
        <c:manualLayout>
          <c:xMode val="factor"/>
          <c:yMode val="factor"/>
          <c:x val="0.01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1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3AAFE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Nº1'!$K$4:$M$4</c:f>
              <c:strCache/>
            </c:strRef>
          </c:cat>
          <c:val>
            <c:numRef>
              <c:f>'CUADRO Nº1'!$K$7:$N$7</c:f>
              <c:numCache/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At val="0"/>
        <c:auto val="1"/>
        <c:lblOffset val="100"/>
        <c:noMultiLvlLbl val="0"/>
      </c:catAx>
      <c:valAx>
        <c:axId val="22401191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0</xdr:rowOff>
    </xdr:from>
    <xdr:to>
      <xdr:col>26</xdr:col>
      <xdr:colOff>19050</xdr:colOff>
      <xdr:row>10</xdr:row>
      <xdr:rowOff>0</xdr:rowOff>
    </xdr:to>
    <xdr:graphicFrame>
      <xdr:nvGraphicFramePr>
        <xdr:cNvPr id="1" name="Shape 60417"/>
        <xdr:cNvGraphicFramePr/>
      </xdr:nvGraphicFramePr>
      <xdr:xfrm>
        <a:off x="10220325" y="161925"/>
        <a:ext cx="144780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47625</xdr:colOff>
      <xdr:row>1</xdr:row>
      <xdr:rowOff>0</xdr:rowOff>
    </xdr:from>
    <xdr:to>
      <xdr:col>33</xdr:col>
      <xdr:colOff>9525</xdr:colOff>
      <xdr:row>10</xdr:row>
      <xdr:rowOff>0</xdr:rowOff>
    </xdr:to>
    <xdr:graphicFrame>
      <xdr:nvGraphicFramePr>
        <xdr:cNvPr id="2" name="Shape 60418"/>
        <xdr:cNvGraphicFramePr/>
      </xdr:nvGraphicFramePr>
      <xdr:xfrm>
        <a:off x="11696700" y="161925"/>
        <a:ext cx="25527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6"/>
  <sheetViews>
    <sheetView tabSelected="1" view="pageBreakPreview" zoomScaleNormal="125" zoomScaleSheetLayoutView="10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5" sqref="C5"/>
    </sheetView>
  </sheetViews>
  <sheetFormatPr defaultColWidth="11.421875" defaultRowHeight="12.75"/>
  <cols>
    <col min="1" max="1" width="3.421875" style="3" customWidth="1"/>
    <col min="2" max="2" width="14.28125" style="3" customWidth="1"/>
    <col min="3" max="3" width="12.140625" style="3" customWidth="1"/>
    <col min="4" max="4" width="21.28125" style="3" customWidth="1"/>
    <col min="5" max="5" width="6.140625" style="66" customWidth="1"/>
    <col min="6" max="6" width="6.140625" style="56" customWidth="1"/>
    <col min="7" max="7" width="5.8515625" style="4" customWidth="1"/>
    <col min="8" max="9" width="5.8515625" style="3" customWidth="1"/>
    <col min="10" max="10" width="5.8515625" style="1" customWidth="1"/>
    <col min="11" max="11" width="5.8515625" style="70" customWidth="1"/>
    <col min="12" max="13" width="5.8515625" style="1" customWidth="1"/>
    <col min="14" max="14" width="5.421875" style="1" customWidth="1"/>
    <col min="15" max="15" width="6.140625" style="1" customWidth="1"/>
    <col min="16" max="16" width="5.28125" style="1" customWidth="1"/>
    <col min="17" max="17" width="5.28125" style="59" customWidth="1"/>
    <col min="18" max="19" width="5.28125" style="1" customWidth="1"/>
    <col min="20" max="21" width="5.28125" style="44" customWidth="1"/>
    <col min="22" max="22" width="5.28125" style="1" customWidth="1"/>
    <col min="23" max="31" width="5.421875" style="44" customWidth="1"/>
    <col min="32" max="32" width="5.8515625" style="1" customWidth="1"/>
    <col min="33" max="41" width="5.8515625" style="59" customWidth="1"/>
    <col min="42" max="42" width="6.421875" style="9" customWidth="1"/>
    <col min="43" max="48" width="6.7109375" style="1" customWidth="1"/>
    <col min="49" max="51" width="6.28125" style="1" customWidth="1"/>
    <col min="52" max="52" width="11.421875" style="1" customWidth="1"/>
    <col min="53" max="53" width="7.00390625" style="1" customWidth="1"/>
    <col min="54" max="16384" width="11.421875" style="1" customWidth="1"/>
  </cols>
  <sheetData>
    <row r="1" spans="2:54" ht="12.75" customHeight="1">
      <c r="B1" s="7" t="s">
        <v>258</v>
      </c>
      <c r="E1" s="64"/>
      <c r="F1" s="54"/>
      <c r="G1" s="79"/>
      <c r="H1" s="7"/>
      <c r="Q1" s="58"/>
      <c r="R1" s="8"/>
      <c r="V1" s="8"/>
      <c r="AF1" s="59"/>
      <c r="AQ1" s="1" t="s">
        <v>192</v>
      </c>
      <c r="BA1"/>
      <c r="BB1"/>
    </row>
    <row r="2" spans="2:54" ht="12.75">
      <c r="B2" s="7"/>
      <c r="E2" s="65"/>
      <c r="F2" s="55"/>
      <c r="G2" s="80"/>
      <c r="H2" s="10"/>
      <c r="I2" s="11"/>
      <c r="N2" s="12"/>
      <c r="O2" s="12"/>
      <c r="P2" s="15"/>
      <c r="Q2" s="83" t="s">
        <v>271</v>
      </c>
      <c r="R2" s="32" t="s">
        <v>272</v>
      </c>
      <c r="S2" s="33" t="s">
        <v>273</v>
      </c>
      <c r="AQ2" s="1" t="s">
        <v>193</v>
      </c>
      <c r="BA2"/>
      <c r="BB2"/>
    </row>
    <row r="3" spans="2:54" ht="12.75" customHeight="1">
      <c r="B3" s="7" t="s">
        <v>173</v>
      </c>
      <c r="E3" s="56"/>
      <c r="F3" s="4"/>
      <c r="G3" s="1"/>
      <c r="H3" s="1"/>
      <c r="I3" s="1"/>
      <c r="J3" s="70"/>
      <c r="K3" s="16" t="s">
        <v>224</v>
      </c>
      <c r="L3" s="13" t="s">
        <v>224</v>
      </c>
      <c r="M3" s="13" t="s">
        <v>224</v>
      </c>
      <c r="N3" s="17" t="s">
        <v>224</v>
      </c>
      <c r="O3" s="3"/>
      <c r="P3" s="126" t="s">
        <v>270</v>
      </c>
      <c r="Q3" s="134">
        <f>SQRT(R3^2+S3^2)</f>
        <v>56.07414993483419</v>
      </c>
      <c r="R3" s="134">
        <f>(AQ6+AS6+AU6)/1000</f>
        <v>50.501974775223495</v>
      </c>
      <c r="S3" s="135">
        <f>(AR6+AT6+AV6)/1000</f>
        <v>-24.36926003630301</v>
      </c>
      <c r="W3" s="4"/>
      <c r="X3" s="4"/>
      <c r="Y3" s="4"/>
      <c r="Z3" s="4"/>
      <c r="BA3"/>
      <c r="BB3"/>
    </row>
    <row r="4" spans="3:54" ht="12.75">
      <c r="C4" s="4"/>
      <c r="D4" s="4"/>
      <c r="E4" s="56"/>
      <c r="F4" s="4"/>
      <c r="G4" s="1"/>
      <c r="H4" s="1"/>
      <c r="I4" s="1"/>
      <c r="J4" s="70"/>
      <c r="K4" s="21" t="s">
        <v>230</v>
      </c>
      <c r="L4" s="22" t="s">
        <v>231</v>
      </c>
      <c r="M4" s="22" t="s">
        <v>232</v>
      </c>
      <c r="N4" s="23" t="s">
        <v>233</v>
      </c>
      <c r="O4" s="3"/>
      <c r="P4" s="15"/>
      <c r="Q4" s="127"/>
      <c r="R4" s="128" t="s">
        <v>274</v>
      </c>
      <c r="S4" s="124"/>
      <c r="AQ4" s="207" t="s">
        <v>194</v>
      </c>
      <c r="AR4" s="208"/>
      <c r="AS4" s="214" t="s">
        <v>197</v>
      </c>
      <c r="AT4" s="214"/>
      <c r="AU4" s="207" t="s">
        <v>198</v>
      </c>
      <c r="AV4" s="208"/>
      <c r="BA4"/>
      <c r="BB4"/>
    </row>
    <row r="5" spans="3:54" ht="12.75">
      <c r="C5" s="183" t="s">
        <v>262</v>
      </c>
      <c r="D5" s="173"/>
      <c r="E5" s="173"/>
      <c r="F5" s="173"/>
      <c r="G5" s="174"/>
      <c r="H5" s="1"/>
      <c r="I5" s="15"/>
      <c r="J5" s="71" t="s">
        <v>234</v>
      </c>
      <c r="K5" s="13">
        <f>DCOUNT(FASE,,K3:K4)-N5</f>
        <v>20</v>
      </c>
      <c r="L5" s="13">
        <f>DCOUNT(FASE,,L3:L4)</f>
        <v>19</v>
      </c>
      <c r="M5" s="13">
        <f>DCOUNT(FASE,,M3:M4)</f>
        <v>21</v>
      </c>
      <c r="N5" s="17">
        <f>DCOUNT(FASE,,N3:N4)</f>
        <v>3</v>
      </c>
      <c r="O5" s="3"/>
      <c r="P5" s="20"/>
      <c r="Q5" s="25" t="s">
        <v>164</v>
      </c>
      <c r="R5" s="129">
        <f>COS(ATAN2(R3,S3))</f>
        <v>0.9006284506125135</v>
      </c>
      <c r="S5" s="23" t="str">
        <f>IF(S3&lt;0,"IND","CAP")</f>
        <v>IND</v>
      </c>
      <c r="AQ5" s="159" t="s">
        <v>195</v>
      </c>
      <c r="AR5" s="160" t="s">
        <v>196</v>
      </c>
      <c r="AS5" s="18" t="s">
        <v>195</v>
      </c>
      <c r="AT5" s="18" t="s">
        <v>196</v>
      </c>
      <c r="AU5" s="159" t="s">
        <v>195</v>
      </c>
      <c r="AV5" s="160" t="s">
        <v>196</v>
      </c>
      <c r="BA5"/>
      <c r="BB5"/>
    </row>
    <row r="6" spans="8:54" ht="12.75">
      <c r="H6" s="1"/>
      <c r="I6" s="62"/>
      <c r="J6" s="72" t="s">
        <v>222</v>
      </c>
      <c r="K6" s="182">
        <f>SUMIF(FASE,K4,P_NOM)</f>
        <v>7.371745454545455</v>
      </c>
      <c r="L6" s="182">
        <f>SUMIF(FASE,L4,P_NOM)</f>
        <v>5.590927272727273</v>
      </c>
      <c r="M6" s="182">
        <f>SUMIF(FASE,M4,P_NOM)</f>
        <v>6.775927272727273</v>
      </c>
      <c r="N6" s="181">
        <f>SUMIF(FASE,N4,P_NOM)</f>
        <v>65</v>
      </c>
      <c r="O6" s="4"/>
      <c r="AQ6" s="156">
        <f>AG15*W15+AH15*X15</f>
        <v>17298.299806673673</v>
      </c>
      <c r="AR6" s="157">
        <f>AG15*X15-AH15*W15</f>
        <v>-8326.938110499645</v>
      </c>
      <c r="AS6" s="158">
        <f>AI15*Y15+AJ15*Z15</f>
        <v>16254.674123624733</v>
      </c>
      <c r="AT6" s="158">
        <f>AI15*Z15-AJ15*Y15</f>
        <v>-7843.636484826682</v>
      </c>
      <c r="AU6" s="156">
        <f>AK15*AA15+AL15*AB15</f>
        <v>16949.000844925085</v>
      </c>
      <c r="AV6" s="157">
        <f>AK15*AB15-AL15*AA15</f>
        <v>-8198.685440976684</v>
      </c>
      <c r="BA6"/>
      <c r="BB6"/>
    </row>
    <row r="7" spans="3:19" ht="12.75">
      <c r="C7" s="4"/>
      <c r="D7" s="4"/>
      <c r="E7" s="3"/>
      <c r="F7" s="4"/>
      <c r="G7" s="1"/>
      <c r="H7" s="1"/>
      <c r="I7" s="62"/>
      <c r="J7" s="72" t="s">
        <v>229</v>
      </c>
      <c r="K7" s="53">
        <f>SQRT(W15^2+X15^2)</f>
        <v>83.62572665491757</v>
      </c>
      <c r="L7" s="53">
        <f>SQRT(Y15^2+Z15^2)</f>
        <v>78.5442048326871</v>
      </c>
      <c r="M7" s="53">
        <f>SQRT(AA15^2+AB15^2)</f>
        <v>81.96972533742832</v>
      </c>
      <c r="N7" s="91">
        <f>SQRT(AC15^2+AD15^2)</f>
        <v>4.580535126069343</v>
      </c>
      <c r="O7" s="123"/>
      <c r="Q7" s="67"/>
      <c r="R7" s="14" t="s">
        <v>200</v>
      </c>
      <c r="S7" s="78">
        <v>400</v>
      </c>
    </row>
    <row r="8" spans="4:19" ht="12.75">
      <c r="D8" s="67"/>
      <c r="E8" s="31" t="s">
        <v>182</v>
      </c>
      <c r="F8" s="81" t="s">
        <v>182</v>
      </c>
      <c r="G8" s="32" t="s">
        <v>182</v>
      </c>
      <c r="H8" s="32" t="s">
        <v>182</v>
      </c>
      <c r="I8" s="62"/>
      <c r="J8" s="72" t="s">
        <v>181</v>
      </c>
      <c r="K8" s="28">
        <f>S8-MIN(e_V_R)+S9</f>
        <v>6.167910695104865</v>
      </c>
      <c r="L8" s="28">
        <f>S8-MIN(e_V_S)+S9</f>
        <v>5.563587478009083</v>
      </c>
      <c r="M8" s="28">
        <f>S8-MIN(e_V_T)+S9</f>
        <v>6.057317580882028</v>
      </c>
      <c r="N8" s="30"/>
      <c r="Q8" s="27"/>
      <c r="R8" s="19" t="s">
        <v>225</v>
      </c>
      <c r="S8" s="170">
        <f>S7/SQRT(3)</f>
        <v>230.94010767585033</v>
      </c>
    </row>
    <row r="9" spans="4:19" ht="12.75">
      <c r="D9" s="172" t="s">
        <v>184</v>
      </c>
      <c r="E9" s="3">
        <v>2.5</v>
      </c>
      <c r="F9" s="116">
        <v>6</v>
      </c>
      <c r="G9" s="3">
        <v>10</v>
      </c>
      <c r="H9" s="3">
        <v>25</v>
      </c>
      <c r="I9" s="62"/>
      <c r="J9" s="72" t="s">
        <v>183</v>
      </c>
      <c r="K9" s="35">
        <f>K8/S8*100</f>
        <v>2.670783675117274</v>
      </c>
      <c r="L9" s="35">
        <f>L8/S8*100</f>
        <v>2.4091040460664312</v>
      </c>
      <c r="M9" s="35">
        <f>M8/S8*100</f>
        <v>2.6228954519169685</v>
      </c>
      <c r="N9" s="30"/>
      <c r="Q9" s="27"/>
      <c r="R9" s="19" t="s">
        <v>250</v>
      </c>
      <c r="S9" s="24">
        <v>0</v>
      </c>
    </row>
    <row r="10" spans="4:19" ht="12.75">
      <c r="D10" s="175" t="s">
        <v>187</v>
      </c>
      <c r="E10" s="22">
        <f>SUMIF(SECC,E9,LONG)</f>
        <v>1278</v>
      </c>
      <c r="F10" s="92">
        <f>SUMIF(SECC,F9,LONG)</f>
        <v>387</v>
      </c>
      <c r="G10" s="22">
        <f>SUMIF(SECC,G9,LONG)</f>
        <v>350</v>
      </c>
      <c r="H10" s="22">
        <f>SUMIF(SECC,H9,LONG)</f>
        <v>100</v>
      </c>
      <c r="I10" s="20"/>
      <c r="J10" s="73" t="s">
        <v>185</v>
      </c>
      <c r="K10" s="36" t="s">
        <v>186</v>
      </c>
      <c r="L10" s="36" t="s">
        <v>186</v>
      </c>
      <c r="M10" s="36" t="s">
        <v>186</v>
      </c>
      <c r="N10" s="5"/>
      <c r="Q10" s="68"/>
      <c r="R10" s="25" t="s">
        <v>201</v>
      </c>
      <c r="S10" s="26">
        <v>3</v>
      </c>
    </row>
    <row r="11" spans="43:53" ht="12.75">
      <c r="AQ11" s="1" t="s">
        <v>175</v>
      </c>
      <c r="BA11" s="1" t="s">
        <v>177</v>
      </c>
    </row>
    <row r="12" spans="4:53" ht="12.75">
      <c r="D12" s="57" t="s">
        <v>179</v>
      </c>
      <c r="E12" s="186">
        <f>SUM(Perd)</f>
        <v>1961.6840380628976</v>
      </c>
      <c r="R12" s="59"/>
      <c r="T12" s="217" t="s">
        <v>256</v>
      </c>
      <c r="U12" s="218"/>
      <c r="V12" s="219"/>
      <c r="W12" s="217" t="s">
        <v>188</v>
      </c>
      <c r="X12" s="218"/>
      <c r="Y12" s="218"/>
      <c r="Z12" s="218"/>
      <c r="AA12" s="218"/>
      <c r="AB12" s="218"/>
      <c r="AC12" s="218"/>
      <c r="AD12" s="218"/>
      <c r="AE12" s="93"/>
      <c r="AF12" s="34" t="s">
        <v>189</v>
      </c>
      <c r="AG12" s="210" t="s">
        <v>237</v>
      </c>
      <c r="AH12" s="211"/>
      <c r="AI12" s="211"/>
      <c r="AJ12" s="211"/>
      <c r="AK12" s="211"/>
      <c r="AL12" s="211"/>
      <c r="AM12" s="211"/>
      <c r="AN12" s="211"/>
      <c r="AO12" s="211"/>
      <c r="AP12" s="1"/>
      <c r="AQ12" s="207" t="s">
        <v>194</v>
      </c>
      <c r="AR12" s="208"/>
      <c r="AS12" s="214" t="s">
        <v>197</v>
      </c>
      <c r="AT12" s="214"/>
      <c r="AU12" s="207" t="s">
        <v>198</v>
      </c>
      <c r="AV12" s="208"/>
      <c r="BA12" s="1" t="s">
        <v>178</v>
      </c>
    </row>
    <row r="13" spans="16:53" ht="12.75">
      <c r="P13" s="2"/>
      <c r="Q13" s="6"/>
      <c r="T13" s="114" t="s">
        <v>255</v>
      </c>
      <c r="U13" s="114" t="s">
        <v>247</v>
      </c>
      <c r="V13" s="114" t="s">
        <v>172</v>
      </c>
      <c r="W13" s="215" t="s">
        <v>203</v>
      </c>
      <c r="X13" s="216"/>
      <c r="Y13" s="215" t="s">
        <v>226</v>
      </c>
      <c r="Z13" s="216"/>
      <c r="AA13" s="215" t="s">
        <v>227</v>
      </c>
      <c r="AB13" s="216"/>
      <c r="AC13" s="220" t="s">
        <v>228</v>
      </c>
      <c r="AD13" s="215"/>
      <c r="AE13" s="27" t="s">
        <v>238</v>
      </c>
      <c r="AF13" s="38" t="s">
        <v>190</v>
      </c>
      <c r="AG13" s="213" t="s">
        <v>204</v>
      </c>
      <c r="AH13" s="209"/>
      <c r="AI13" s="209" t="s">
        <v>205</v>
      </c>
      <c r="AJ13" s="209"/>
      <c r="AK13" s="209" t="s">
        <v>206</v>
      </c>
      <c r="AL13" s="212"/>
      <c r="AM13" s="209" t="s">
        <v>207</v>
      </c>
      <c r="AN13" s="209"/>
      <c r="AO13" s="209"/>
      <c r="AP13" s="1"/>
      <c r="AQ13" s="159" t="s">
        <v>195</v>
      </c>
      <c r="AR13" s="160" t="s">
        <v>196</v>
      </c>
      <c r="AS13" s="18" t="s">
        <v>195</v>
      </c>
      <c r="AT13" s="18" t="s">
        <v>196</v>
      </c>
      <c r="AU13" s="159" t="s">
        <v>195</v>
      </c>
      <c r="AV13" s="160" t="s">
        <v>196</v>
      </c>
      <c r="AW13" s="184" t="s">
        <v>272</v>
      </c>
      <c r="AX13" s="184" t="s">
        <v>264</v>
      </c>
      <c r="AY13" s="184" t="s">
        <v>271</v>
      </c>
      <c r="BA13" s="184" t="s">
        <v>176</v>
      </c>
    </row>
    <row r="14" spans="1:41" s="96" customFormat="1" ht="12.75">
      <c r="A14" s="46"/>
      <c r="B14" s="31" t="s">
        <v>208</v>
      </c>
      <c r="C14" s="32" t="s">
        <v>209</v>
      </c>
      <c r="D14" s="32" t="s">
        <v>299</v>
      </c>
      <c r="E14" s="69" t="s">
        <v>211</v>
      </c>
      <c r="F14" s="32" t="s">
        <v>212</v>
      </c>
      <c r="G14" s="69" t="s">
        <v>257</v>
      </c>
      <c r="H14" s="32" t="s">
        <v>191</v>
      </c>
      <c r="I14" s="32" t="s">
        <v>210</v>
      </c>
      <c r="J14" s="32" t="s">
        <v>224</v>
      </c>
      <c r="K14" s="74" t="s">
        <v>199</v>
      </c>
      <c r="L14" s="32" t="s">
        <v>251</v>
      </c>
      <c r="M14" s="32" t="s">
        <v>268</v>
      </c>
      <c r="N14" s="32" t="s">
        <v>182</v>
      </c>
      <c r="O14" s="32" t="s">
        <v>241</v>
      </c>
      <c r="P14" s="32" t="s">
        <v>252</v>
      </c>
      <c r="Q14" s="83" t="s">
        <v>269</v>
      </c>
      <c r="R14" s="32" t="s">
        <v>181</v>
      </c>
      <c r="S14" s="33" t="s">
        <v>183</v>
      </c>
      <c r="T14" s="69" t="s">
        <v>248</v>
      </c>
      <c r="U14" s="69" t="s">
        <v>249</v>
      </c>
      <c r="V14" s="32" t="s">
        <v>213</v>
      </c>
      <c r="W14" s="69" t="s">
        <v>253</v>
      </c>
      <c r="X14" s="69" t="s">
        <v>254</v>
      </c>
      <c r="Y14" s="69" t="s">
        <v>169</v>
      </c>
      <c r="Z14" s="69" t="s">
        <v>170</v>
      </c>
      <c r="AA14" s="69" t="s">
        <v>171</v>
      </c>
      <c r="AB14" s="69" t="s">
        <v>223</v>
      </c>
      <c r="AC14" s="69" t="s">
        <v>214</v>
      </c>
      <c r="AD14" s="69" t="s">
        <v>215</v>
      </c>
      <c r="AE14" s="69" t="s">
        <v>172</v>
      </c>
      <c r="AF14" s="57" t="s">
        <v>216</v>
      </c>
      <c r="AG14" s="83" t="s">
        <v>217</v>
      </c>
      <c r="AH14" s="83" t="s">
        <v>218</v>
      </c>
      <c r="AI14" s="83" t="s">
        <v>219</v>
      </c>
      <c r="AJ14" s="83" t="s">
        <v>220</v>
      </c>
      <c r="AK14" s="83" t="s">
        <v>221</v>
      </c>
      <c r="AL14" s="83" t="s">
        <v>166</v>
      </c>
      <c r="AM14" s="84" t="s">
        <v>167</v>
      </c>
      <c r="AN14" s="83" t="s">
        <v>168</v>
      </c>
      <c r="AO14" s="87" t="s">
        <v>235</v>
      </c>
    </row>
    <row r="15" spans="1:53" ht="12.75">
      <c r="A15" s="131" t="s">
        <v>275</v>
      </c>
      <c r="B15" s="136" t="s">
        <v>174</v>
      </c>
      <c r="C15" s="39" t="s">
        <v>315</v>
      </c>
      <c r="D15" s="39" t="s">
        <v>66</v>
      </c>
      <c r="E15" s="137"/>
      <c r="F15" s="40"/>
      <c r="G15" s="40">
        <v>1</v>
      </c>
      <c r="H15" s="89">
        <f aca="true" t="shared" si="0" ref="H15:H21">VLOOKUP(AE15,Protecciones,2)</f>
        <v>100</v>
      </c>
      <c r="I15" s="138">
        <v>30</v>
      </c>
      <c r="J15" s="39"/>
      <c r="K15" s="99">
        <v>1</v>
      </c>
      <c r="L15" s="98">
        <v>1</v>
      </c>
      <c r="M15" s="41" t="s">
        <v>246</v>
      </c>
      <c r="N15" s="39">
        <v>50</v>
      </c>
      <c r="O15" s="89">
        <f aca="true" t="shared" si="1" ref="O15:O30">IF(I15,VLOOKUP(N15,TUBOS,IF(OR(J15="RST",J15=""),3,2)),"")</f>
        <v>63</v>
      </c>
      <c r="P15" s="63">
        <f aca="true" t="shared" si="2" ref="P15:P30">IF(I15,VLOOKUP(N15,Imax_RBT,K15+1)*L15,"")</f>
        <v>180</v>
      </c>
      <c r="Q15" s="88">
        <f>IF(I15,IF(AE15&lt;=P15,100-AE15/P15*100,ROUND(100-AE15/P15*100,0)&amp;"Err"),"")</f>
        <v>53.54126296949024</v>
      </c>
      <c r="R15" s="100">
        <f aca="true" t="shared" si="3" ref="R15:R22">IF(J15="R",$S$8-AM15+$S$9,IF(J15="S",$S$8-AN15+$S$9,IF(J15="T",$S$8-AO15+$S$9,$S$8-MIN(AM15:AO15)+$S$9)))</f>
        <v>1.3677779538960806</v>
      </c>
      <c r="S15" s="101">
        <f aca="true" t="shared" si="4" ref="S15:S83">IF(ISTEXT(R15),"",R15/$S$8*100)</f>
        <v>0.5922652274051532</v>
      </c>
      <c r="T15" s="85">
        <f aca="true" t="shared" si="5" ref="T15:T22">IF(ISBLANK(E15),SUMIF(INI,C15,POT_RESULT),E15*G15)</f>
        <v>84.73859999999999</v>
      </c>
      <c r="U15" s="85">
        <f aca="true" t="shared" si="6" ref="U15:U22">IF(ISBLANK(E15),"",TAN(ACOS(F15))*T15)</f>
      </c>
      <c r="V15" s="109">
        <f aca="true" t="shared" si="7" ref="V15:V22">IF(ISBLANK(J15),"",G15*IF(J15="RST",E15*1000/SQRT(3)/$S$7/F15,E15*1000/$S$8/F15))</f>
      </c>
      <c r="W15" s="203">
        <f aca="true" t="shared" si="8" ref="W15:W83">IF($K$10="Sí",IF(OR($J15="R",$J15="RST"),$V15*COS(-ACOS($F15)))+$G15*SUMIF(INI,$C15,R_RE),0)</f>
        <v>75.44400774759501</v>
      </c>
      <c r="X15" s="203">
        <f aca="true" t="shared" si="9" ref="X15:X83">IF($K$10="Sí",IF(OR($J15="R",$J15="RST"),$V15*SIN(-ACOS($F15)))+$G15*SUMIF(INI,$C15,R_IM),0)</f>
        <v>-36.07580703939714</v>
      </c>
      <c r="Y15" s="203">
        <f aca="true" t="shared" si="10" ref="Y15:Y83">IF($L$10="Sí",IF(OR($J15="S",$J15="RST"),$V15*COS(-2*PI()/3-ACOS($F15)))+$G15*SUMIF(INI,$C15,S_RE),0)</f>
        <v>-64.82932485869738</v>
      </c>
      <c r="Z15" s="203">
        <f aca="true" t="shared" si="11" ref="Z15:Z83">IF($L$10="Sí",IF(OR($J15="S",$J15="RST"),$V15*SIN(-2*PI()/3-ACOS($F15)))+$G15*SUMIF(INI,$C15,S_IM),0)</f>
        <v>-44.34355365963119</v>
      </c>
      <c r="AA15" s="203">
        <f aca="true" t="shared" si="12" ref="AA15:AA83">IF($M$10="Sí",IF(OR($J15="T",$J15="RST"),$V15*COS(2*PI()/3-ACOS($F15)))+$G15*SUMIF(INI,$C15,T_RE),0)</f>
        <v>-6.226525235931338</v>
      </c>
      <c r="AB15" s="203">
        <f aca="true" t="shared" si="13" ref="AB15:AB83">IF($M$10="Sí",IF(OR($J15="T",$J15="RST"),$V15*SIN(2*PI()/3-ACOS($F15)))+$G15*SUMIF(INI,$C15,T_IM),0)</f>
        <v>81.73289579710087</v>
      </c>
      <c r="AC15" s="102">
        <f aca="true" t="shared" si="14" ref="AC15:AD22">W15+Y15+AA15</f>
        <v>4.388157652966295</v>
      </c>
      <c r="AD15" s="102">
        <f t="shared" si="14"/>
        <v>1.3135350980725349</v>
      </c>
      <c r="AE15" s="102">
        <f aca="true" t="shared" si="15" ref="AE15:AE22">MAX(SQRT(W15^2+X15^2),SQRT(Y15^2+Z15^2),SQRT(AA15^2+AB15^2),SQRT(AC15^2+AD15^2))</f>
        <v>83.62572665491757</v>
      </c>
      <c r="AF15" s="204">
        <f aca="true" t="shared" si="16" ref="AF15:AF21">IF(OR(M15=0,N15=0),0,IF(M15="Cu",I15/56/N15,I15/35/N15))</f>
        <v>0.01714285714285714</v>
      </c>
      <c r="AG15" s="102">
        <f>S8-IF(W15*X15&lt;&gt;0,$AF15*(W15+AC15))</f>
        <v>229.57155626898356</v>
      </c>
      <c r="AH15" s="102">
        <f>0-IF(W15*X15&lt;&gt;0,$AF15*(X15+AD15))</f>
        <v>0.5959246618512789</v>
      </c>
      <c r="AI15" s="102">
        <f>-0.5*S8-IF(Y15*Z15&lt;&gt;0,$AF15*(Y15+AC15))</f>
        <v>-114.43391954296978</v>
      </c>
      <c r="AJ15" s="102">
        <f>-SQRT(3)/2*S8-IF(Y15*Z15&lt;&gt;0,AF15*(Z15+AD15))</f>
        <v>-199.26234253894472</v>
      </c>
      <c r="AK15" s="102">
        <f>-0.5*S8-IF(AA15*AB15&lt;&gt;0,AF15*(AA15+AC15))</f>
        <v>-115.43853896507433</v>
      </c>
      <c r="AL15" s="102">
        <f>SQRT(3)/2*S8-IF(AA15*AB15&lt;&gt;0,AF15*(AB15+AD15))</f>
        <v>198.57634689893987</v>
      </c>
      <c r="AM15" s="103">
        <f aca="true" t="shared" si="17" ref="AM15:AM22">IF($K$10="Sí",SQRT(AG15^2+AH15^2),0)</f>
        <v>229.57232972195425</v>
      </c>
      <c r="AN15" s="103">
        <f aca="true" t="shared" si="18" ref="AN15:AN22">IF($L$10="Sí",SQRT(AI15^2+AJ15^2),0)</f>
        <v>229.78381817716107</v>
      </c>
      <c r="AO15" s="104">
        <f aca="true" t="shared" si="19" ref="AO15:AO22">IF($M$10="Sí",SQRT(AK15^2+AL15^2),0)</f>
        <v>229.6924505205147</v>
      </c>
      <c r="AP15" s="1"/>
      <c r="AQ15" s="187">
        <f>AG15*W15+AH15*X15</f>
        <v>17298.299806673673</v>
      </c>
      <c r="AR15" s="188">
        <f>AG15*X15-AH15*W15</f>
        <v>-8326.938110499645</v>
      </c>
      <c r="AS15" s="188">
        <f>AI15*Y15+AJ15*Z15</f>
        <v>16254.674123624733</v>
      </c>
      <c r="AT15" s="188">
        <f>AI15*Z15-AJ15*Y15</f>
        <v>-7843.636484826682</v>
      </c>
      <c r="AU15" s="188">
        <f>AK15*AA15+AL15*AB15</f>
        <v>16949.000844925085</v>
      </c>
      <c r="AV15" s="188">
        <f>AK15*AB15-AL15*AA15</f>
        <v>-8198.685440976684</v>
      </c>
      <c r="AW15" s="189">
        <f>(AQ15+AS15+AU15)/1000</f>
        <v>50.501974775223495</v>
      </c>
      <c r="AX15" s="189">
        <f>(AR15+AT15+AV15)/1000</f>
        <v>-24.36926003630301</v>
      </c>
      <c r="AY15" s="190">
        <f>SQRT(AW15^2+AX15^2)</f>
        <v>56.07414993483419</v>
      </c>
      <c r="BA15" s="198">
        <f>AF15*(W15^2+X15^2+Y15^2+Z15^2+AA15^2+AB15^2+AC15^2+AD15^2)</f>
        <v>341.1852247765147</v>
      </c>
    </row>
    <row r="16" spans="1:53" ht="12.75">
      <c r="A16" s="49" t="s">
        <v>276</v>
      </c>
      <c r="B16" s="136" t="str">
        <f>C15</f>
        <v>CPM</v>
      </c>
      <c r="C16" s="39" t="s">
        <v>316</v>
      </c>
      <c r="D16" s="39"/>
      <c r="E16" s="40"/>
      <c r="F16" s="40"/>
      <c r="G16" s="40">
        <v>0.6</v>
      </c>
      <c r="H16" s="89">
        <f t="shared" si="0"/>
        <v>100</v>
      </c>
      <c r="I16" s="138">
        <v>100</v>
      </c>
      <c r="J16" s="39"/>
      <c r="K16" s="41">
        <v>5</v>
      </c>
      <c r="L16" s="40">
        <v>1</v>
      </c>
      <c r="M16" s="41" t="s">
        <v>245</v>
      </c>
      <c r="N16" s="39">
        <v>70</v>
      </c>
      <c r="O16" s="89">
        <f t="shared" si="1"/>
        <v>63</v>
      </c>
      <c r="P16" s="63">
        <f t="shared" si="2"/>
        <v>160</v>
      </c>
      <c r="Q16" s="88">
        <f aca="true" t="shared" si="20" ref="Q16:Q79">IF(I16,IF(AE16&lt;=P16,100-AE16/P16*100,ROUND(100-AE16/P16*100,0)&amp;"Err"),"")</f>
        <v>47.73392084067651</v>
      </c>
      <c r="R16" s="29">
        <f>IF(J16="R",$S$8-AM16+$S$9,IF(J16="S",$S$8-AN16+$S$9,IF(J16="T",$S$8-AO16+$S$9,$S$8-MIN(AM16:AO16)+$S$9)))</f>
        <v>3.400255273857425</v>
      </c>
      <c r="S16" s="35">
        <f t="shared" si="4"/>
        <v>1.4723537232562718</v>
      </c>
      <c r="T16" s="85">
        <f>IF(ISBLANK(E16),SUMIF(INI,C16,POT_RESULT),E16*G16)</f>
        <v>84.73859999999999</v>
      </c>
      <c r="U16" s="85">
        <f>IF(ISBLANK(E16),"",TAN(ACOS(F16))*T16)</f>
      </c>
      <c r="V16" s="110">
        <f>IF(ISBLANK(J16),"",G16*IF(J16="RST",E16*1000/SQRT(3)/$S$7/F16,E16*1000/$S$8/F16))</f>
      </c>
      <c r="W16" s="203">
        <f t="shared" si="8"/>
        <v>75.44400774759501</v>
      </c>
      <c r="X16" s="203">
        <f t="shared" si="9"/>
        <v>-36.07580703939714</v>
      </c>
      <c r="Y16" s="203">
        <f t="shared" si="10"/>
        <v>-64.82932485869738</v>
      </c>
      <c r="Z16" s="203">
        <f t="shared" si="11"/>
        <v>-44.34355365963119</v>
      </c>
      <c r="AA16" s="203">
        <f t="shared" si="12"/>
        <v>-6.226525235931338</v>
      </c>
      <c r="AB16" s="203">
        <f t="shared" si="13"/>
        <v>81.73289579710087</v>
      </c>
      <c r="AC16" s="85">
        <f>W16+Y16+AA16</f>
        <v>4.388157652966295</v>
      </c>
      <c r="AD16" s="85">
        <f>X16+Z16+AB16</f>
        <v>1.3135350980725349</v>
      </c>
      <c r="AE16" s="85">
        <f>MAX(SQRT(W16^2+X16^2),SQRT(Y16^2+Z16^2),SQRT(AA16^2+AB16^2),SQRT(AC16^2+AD16^2))</f>
        <v>83.62572665491757</v>
      </c>
      <c r="AF16" s="205">
        <f t="shared" si="16"/>
        <v>0.025510204081632654</v>
      </c>
      <c r="AG16" s="85">
        <f aca="true" t="shared" si="21" ref="AG16:AG22">SUMIF(FIN,$B16,ac_R_Re)-IF(W16*X16&lt;&gt;0,$AF16*(W16+AC16))</f>
        <v>227.53502143733658</v>
      </c>
      <c r="AH16" s="85">
        <f aca="true" t="shared" si="22" ref="AH16:AH22">SUMIF(FIN,$B16,ac_R_Im)-IF(W16*X16&lt;&gt;0,$AF16*(X16+AD16))</f>
        <v>1.4827173134156821</v>
      </c>
      <c r="AI16" s="85">
        <f aca="true" t="shared" si="23" ref="AI16:AI22">SUMIF(FIN,B16,ac_S_Re)-IF(Y16*Z16&lt;&gt;0,$AF16*(Y16+AC16))</f>
        <v>-112.89205303261949</v>
      </c>
      <c r="AJ16" s="85">
        <f aca="true" t="shared" si="24" ref="AJ16:AJ22">SUMIF(FIN,B16,ac_S_Im)-IF(Y16*Z16&lt;&gt;0,AF16*(Z16+AD16))</f>
        <v>-198.16463798380292</v>
      </c>
      <c r="AK16" s="85">
        <f aca="true" t="shared" si="25" ref="AK16:AK22">SUMIF(FIN,B16,ac_T_Re)-IF(AA16*AB16&lt;&gt;0,AF16*(AA16+AC16))</f>
        <v>-115.39164183285584</v>
      </c>
      <c r="AL16" s="85">
        <f aca="true" t="shared" si="26" ref="AL16:AL22">SUMIF(FIN,B16,ac_T_Im)-IF(AA16*AB16&lt;&gt;0,AF16*(AB16+AD16))</f>
        <v>196.4578154985528</v>
      </c>
      <c r="AM16" s="97">
        <f>IF($K$10="Sí",SQRT(AG16^2+AH16^2),0)</f>
        <v>227.5398524019929</v>
      </c>
      <c r="AN16" s="97">
        <f>IF($L$10="Sí",SQRT(AI16^2+AJ16^2),0)</f>
        <v>228.06542786045287</v>
      </c>
      <c r="AO16" s="105">
        <f>IF($M$10="Sí",SQRT(AK16^2+AL16^2),0)</f>
        <v>227.83964596914538</v>
      </c>
      <c r="AP16" s="1"/>
      <c r="AQ16" s="191">
        <f aca="true" t="shared" si="27" ref="AQ16:AQ79">AG16*W16+AH16*X16</f>
        <v>17112.663696474858</v>
      </c>
      <c r="AR16" s="185">
        <f aca="true" t="shared" si="28" ref="AR16:AR79">AG16*X16-AH16*W16</f>
        <v>-8320.371664559272</v>
      </c>
      <c r="AS16" s="185">
        <f aca="true" t="shared" si="29" ref="AS16:AS79">AI16*Y16+AJ16*Z16</f>
        <v>16106.039837893135</v>
      </c>
      <c r="AT16" s="185">
        <f aca="true" t="shared" si="30" ref="AT16:AT79">AI16*Z16-AJ16*Y16</f>
        <v>-7840.844879960228</v>
      </c>
      <c r="AU16" s="185">
        <f aca="true" t="shared" si="31" ref="AU16:AU79">AK16*AA16+AL16*AB16</f>
        <v>16775.55513255711</v>
      </c>
      <c r="AV16" s="185">
        <f aca="true" t="shared" si="32" ref="AV16:AV79">AK16*AB16-AL16*AA16</f>
        <v>-8208.04349178351</v>
      </c>
      <c r="AW16" s="192">
        <f aca="true" t="shared" si="33" ref="AW16:AW79">(AQ16+AS16+AU16)/1000</f>
        <v>49.994258666925106</v>
      </c>
      <c r="AX16" s="192">
        <f aca="true" t="shared" si="34" ref="AX16:AX79">(AR16+AT16+AV16)/1000</f>
        <v>-24.36926003630301</v>
      </c>
      <c r="AY16" s="193">
        <f aca="true" t="shared" si="35" ref="AY16:AY79">SQRT(AW16^2+AX16^2)</f>
        <v>55.61732404900807</v>
      </c>
      <c r="BA16" s="199">
        <f aca="true" t="shared" si="36" ref="BA16:BA79">AF16*(W16^2+X16^2+Y16^2+Z16^2+AA16^2+AB16^2+AC16^2+AD16^2)</f>
        <v>507.71610829838505</v>
      </c>
    </row>
    <row r="17" spans="1:53" ht="12.75">
      <c r="A17" s="49" t="s">
        <v>277</v>
      </c>
      <c r="B17" s="136" t="str">
        <f>C16</f>
        <v>C.GEN</v>
      </c>
      <c r="C17" s="39" t="s">
        <v>0</v>
      </c>
      <c r="D17" s="39" t="s">
        <v>67</v>
      </c>
      <c r="E17" s="40"/>
      <c r="F17" s="40"/>
      <c r="G17" s="40">
        <v>1</v>
      </c>
      <c r="H17" s="89">
        <f t="shared" si="0"/>
        <v>16</v>
      </c>
      <c r="I17" s="138">
        <v>50</v>
      </c>
      <c r="J17" s="39"/>
      <c r="K17" s="41">
        <v>5</v>
      </c>
      <c r="L17" s="40">
        <v>1</v>
      </c>
      <c r="M17" s="41" t="s">
        <v>245</v>
      </c>
      <c r="N17" s="39">
        <v>6</v>
      </c>
      <c r="O17" s="89">
        <f t="shared" si="1"/>
        <v>25</v>
      </c>
      <c r="P17" s="63">
        <f t="shared" si="2"/>
        <v>36</v>
      </c>
      <c r="Q17" s="88">
        <f t="shared" si="20"/>
        <v>67.34532215719805</v>
      </c>
      <c r="R17" s="29">
        <f>IF(J17="R",$S$8-AM17+$S$9,IF(J17="S",$S$8-AN17+$S$9,IF(J17="T",$S$8-AO17+$S$9,$S$8-MIN(AM17:AO17)+$S$9)))</f>
        <v>4.893733093433525</v>
      </c>
      <c r="S17" s="35">
        <f t="shared" si="4"/>
        <v>2.119048589127019</v>
      </c>
      <c r="T17" s="85">
        <f>IF(ISBLANK(E17),SUMIF(INI,C17,POT_RESULT),E17*G17)</f>
        <v>6.6476</v>
      </c>
      <c r="U17" s="85">
        <f>IF(ISBLANK(E17),"",TAN(ACOS(F17))*T17)</f>
      </c>
      <c r="V17" s="110">
        <f>IF(ISBLANK(J17),"",G17*IF(J17="RST",E17*1000/SQRT(3)/$S$7/F17,E17*1000/$S$8/F17))</f>
      </c>
      <c r="W17" s="203">
        <f t="shared" si="8"/>
        <v>8.330062170256026</v>
      </c>
      <c r="X17" s="203">
        <f t="shared" si="9"/>
        <v>-4.736735768510652</v>
      </c>
      <c r="Y17" s="203">
        <f t="shared" si="10"/>
        <v>-10.133344566124435</v>
      </c>
      <c r="Z17" s="203">
        <f t="shared" si="11"/>
        <v>-5.959147150593188</v>
      </c>
      <c r="AA17" s="203">
        <f t="shared" si="12"/>
        <v>-0.09410053424112842</v>
      </c>
      <c r="AB17" s="203">
        <f t="shared" si="13"/>
        <v>11.755307394861354</v>
      </c>
      <c r="AC17" s="85">
        <f>W17+Y17+AA17</f>
        <v>-1.897382930109538</v>
      </c>
      <c r="AD17" s="85">
        <f>X17+Z17+AB17</f>
        <v>1.0594244757575133</v>
      </c>
      <c r="AE17" s="85">
        <f>MAX(SQRT(W17^2+X17^2),SQRT(Y17^2+Z17^2),SQRT(AA17^2+AB17^2),SQRT(AC17^2+AD17^2))</f>
        <v>11.7556840234087</v>
      </c>
      <c r="AF17" s="205">
        <f t="shared" si="16"/>
        <v>0.1488095238095238</v>
      </c>
      <c r="AG17" s="85">
        <f t="shared" si="21"/>
        <v>226.57777750279098</v>
      </c>
      <c r="AH17" s="85">
        <f t="shared" si="22"/>
        <v>2.029936255789661</v>
      </c>
      <c r="AI17" s="85">
        <f t="shared" si="23"/>
        <v>-111.10176620282276</v>
      </c>
      <c r="AJ17" s="85">
        <f t="shared" si="24"/>
        <v>-197.4355125857619</v>
      </c>
      <c r="AK17" s="85">
        <f t="shared" si="25"/>
        <v>-115.09529012685128</v>
      </c>
      <c r="AL17" s="85">
        <f t="shared" si="26"/>
        <v>194.55086135113928</v>
      </c>
      <c r="AM17" s="97">
        <f>IF($K$10="Sí",SQRT(AG17^2+AH17^2),0)</f>
        <v>226.5868705360194</v>
      </c>
      <c r="AN17" s="97">
        <f>IF($L$10="Sí",SQRT(AI17^2+AJ17^2),0)</f>
        <v>226.54885584215435</v>
      </c>
      <c r="AO17" s="105">
        <f>IF($M$10="Sí",SQRT(AK17^2+AL17^2),0)</f>
        <v>226.0463745824168</v>
      </c>
      <c r="AP17" s="1"/>
      <c r="AQ17" s="191">
        <f t="shared" si="27"/>
        <v>1877.7917013260903</v>
      </c>
      <c r="AR17" s="185">
        <f t="shared" si="28"/>
        <v>-1090.1485582595028</v>
      </c>
      <c r="AS17" s="185">
        <f t="shared" si="29"/>
        <v>2302.37975108955</v>
      </c>
      <c r="AT17" s="185">
        <f t="shared" si="30"/>
        <v>-1338.6103051275013</v>
      </c>
      <c r="AU17" s="185">
        <f t="shared" si="31"/>
        <v>2297.835707407268</v>
      </c>
      <c r="AV17" s="185">
        <f t="shared" si="32"/>
        <v>-1334.673175151674</v>
      </c>
      <c r="AW17" s="192">
        <f t="shared" si="33"/>
        <v>6.478007159822908</v>
      </c>
      <c r="AX17" s="192">
        <f t="shared" si="34"/>
        <v>-3.7634320385386784</v>
      </c>
      <c r="AY17" s="193">
        <f t="shared" si="35"/>
        <v>7.491862083048262</v>
      </c>
      <c r="BA17" s="199">
        <f t="shared" si="36"/>
        <v>55.49721092571085</v>
      </c>
    </row>
    <row r="18" spans="1:53" ht="12.75">
      <c r="A18" s="49" t="s">
        <v>278</v>
      </c>
      <c r="B18" s="136" t="str">
        <f>B17</f>
        <v>C.GEN</v>
      </c>
      <c r="C18" s="39" t="s">
        <v>1</v>
      </c>
      <c r="D18" s="39" t="s">
        <v>68</v>
      </c>
      <c r="E18" s="40"/>
      <c r="F18" s="40"/>
      <c r="G18" s="40">
        <v>1</v>
      </c>
      <c r="H18" s="89">
        <f t="shared" si="0"/>
        <v>125</v>
      </c>
      <c r="I18" s="138">
        <v>50</v>
      </c>
      <c r="J18" s="39"/>
      <c r="K18" s="41">
        <v>5</v>
      </c>
      <c r="L18" s="40">
        <v>1</v>
      </c>
      <c r="M18" s="41" t="s">
        <v>245</v>
      </c>
      <c r="N18" s="39">
        <v>50</v>
      </c>
      <c r="O18" s="89">
        <f>IF(I18,VLOOKUP(N18,TUBOS,IF(OR(J18="RST",J18=""),3,2)),"")</f>
        <v>63</v>
      </c>
      <c r="P18" s="63">
        <f>IF(I18,VLOOKUP(N18,Imax_RBT,K18+1)*L18,"")</f>
        <v>125</v>
      </c>
      <c r="Q18" s="88">
        <f t="shared" si="20"/>
        <v>11.986158963537036</v>
      </c>
      <c r="R18" s="29">
        <f t="shared" si="3"/>
        <v>5.06232810456504</v>
      </c>
      <c r="S18" s="35">
        <f t="shared" si="4"/>
        <v>2.192052370422625</v>
      </c>
      <c r="T18" s="85">
        <f t="shared" si="5"/>
        <v>66.2</v>
      </c>
      <c r="U18" s="85">
        <f t="shared" si="6"/>
      </c>
      <c r="V18" s="110">
        <f t="shared" si="7"/>
      </c>
      <c r="W18" s="203">
        <f t="shared" si="8"/>
        <v>93.8194187433142</v>
      </c>
      <c r="X18" s="203">
        <f t="shared" si="9"/>
        <v>-45.4388183604258</v>
      </c>
      <c r="Y18" s="203">
        <f t="shared" si="10"/>
        <v>-86.2608803897326</v>
      </c>
      <c r="Z18" s="203">
        <f t="shared" si="11"/>
        <v>-58.53059081978712</v>
      </c>
      <c r="AA18" s="203">
        <f t="shared" si="12"/>
        <v>-7.977165093164531</v>
      </c>
      <c r="AB18" s="203">
        <f t="shared" si="13"/>
        <v>109.72771491942471</v>
      </c>
      <c r="AC18" s="85">
        <f t="shared" si="14"/>
        <v>-0.41862673958293417</v>
      </c>
      <c r="AD18" s="85">
        <f t="shared" si="14"/>
        <v>5.758305739211792</v>
      </c>
      <c r="AE18" s="85">
        <f t="shared" si="15"/>
        <v>110.0173012955787</v>
      </c>
      <c r="AF18" s="205">
        <f t="shared" si="16"/>
        <v>0.01785714285714286</v>
      </c>
      <c r="AG18" s="85">
        <f t="shared" si="21"/>
        <v>225.86715015155568</v>
      </c>
      <c r="AH18" s="85">
        <f t="shared" si="22"/>
        <v>2.191297895937361</v>
      </c>
      <c r="AI18" s="85">
        <f t="shared" si="23"/>
        <v>-111.34420469102457</v>
      </c>
      <c r="AJ18" s="85">
        <f t="shared" si="24"/>
        <v>-197.22227575022123</v>
      </c>
      <c r="AK18" s="85">
        <f t="shared" si="25"/>
        <v>-115.24171697869963</v>
      </c>
      <c r="AL18" s="85">
        <f t="shared" si="26"/>
        <v>194.3955651296486</v>
      </c>
      <c r="AM18" s="97">
        <f t="shared" si="17"/>
        <v>225.8777795712853</v>
      </c>
      <c r="AN18" s="97">
        <f t="shared" si="18"/>
        <v>226.48213609548344</v>
      </c>
      <c r="AO18" s="105">
        <f t="shared" si="19"/>
        <v>225.98736485537006</v>
      </c>
      <c r="AP18" s="1"/>
      <c r="AQ18" s="191">
        <f t="shared" si="27"/>
        <v>21091.154753360745</v>
      </c>
      <c r="AR18" s="185">
        <f t="shared" si="28"/>
        <v>-10468.72270421385</v>
      </c>
      <c r="AS18" s="185">
        <f t="shared" si="29"/>
        <v>21148.1854454258</v>
      </c>
      <c r="AT18" s="185">
        <f t="shared" si="30"/>
        <v>-10495.525053755711</v>
      </c>
      <c r="AU18" s="185">
        <f t="shared" si="31"/>
        <v>22249.88335410537</v>
      </c>
      <c r="AV18" s="185">
        <f t="shared" si="32"/>
        <v>-11094.484751045555</v>
      </c>
      <c r="AW18" s="192">
        <f t="shared" si="33"/>
        <v>64.48922355289191</v>
      </c>
      <c r="AX18" s="192">
        <f t="shared" si="34"/>
        <v>-32.058732509015115</v>
      </c>
      <c r="AY18" s="193">
        <f t="shared" si="35"/>
        <v>72.01820800699953</v>
      </c>
      <c r="BA18" s="199">
        <f t="shared" si="36"/>
        <v>604.8335537918872</v>
      </c>
    </row>
    <row r="19" spans="1:53" ht="12.75">
      <c r="A19" s="49" t="s">
        <v>279</v>
      </c>
      <c r="B19" s="136" t="str">
        <f>B18</f>
        <v>C.GEN</v>
      </c>
      <c r="C19" s="39" t="s">
        <v>2</v>
      </c>
      <c r="D19" s="39" t="s">
        <v>69</v>
      </c>
      <c r="E19" s="40"/>
      <c r="F19" s="40"/>
      <c r="G19" s="40">
        <v>1</v>
      </c>
      <c r="H19" s="89">
        <f t="shared" si="0"/>
        <v>25</v>
      </c>
      <c r="I19" s="138">
        <v>50</v>
      </c>
      <c r="J19" s="39"/>
      <c r="K19" s="41">
        <v>5</v>
      </c>
      <c r="L19" s="40">
        <v>1</v>
      </c>
      <c r="M19" s="41" t="s">
        <v>245</v>
      </c>
      <c r="N19" s="39">
        <v>25</v>
      </c>
      <c r="O19" s="89">
        <f>IF(I19,VLOOKUP(N19,TUBOS,IF(OR(J19="RST",J19=""),3,2)),"")</f>
        <v>50</v>
      </c>
      <c r="P19" s="63">
        <f>IF(I19,VLOOKUP(N19,Imax_RBT,K19+1)*L19,"")</f>
        <v>84</v>
      </c>
      <c r="Q19" s="88">
        <f t="shared" si="20"/>
        <v>71.63078144213107</v>
      </c>
      <c r="R19" s="29">
        <f t="shared" si="3"/>
        <v>4.5240350754640986</v>
      </c>
      <c r="S19" s="35">
        <f t="shared" si="4"/>
        <v>1.9589646514818795</v>
      </c>
      <c r="T19" s="85">
        <f t="shared" si="5"/>
        <v>10.606000000000002</v>
      </c>
      <c r="U19" s="85">
        <f t="shared" si="6"/>
      </c>
      <c r="V19" s="110">
        <f t="shared" si="7"/>
      </c>
      <c r="W19" s="203">
        <f t="shared" si="8"/>
        <v>21.81517992133001</v>
      </c>
      <c r="X19" s="203">
        <f t="shared" si="9"/>
        <v>-9.59029032166209</v>
      </c>
      <c r="Y19" s="203">
        <f t="shared" si="10"/>
        <v>-10.352342406995415</v>
      </c>
      <c r="Z19" s="203">
        <f t="shared" si="11"/>
        <v>-7.943072324578018</v>
      </c>
      <c r="AA19" s="203">
        <f t="shared" si="12"/>
        <v>-1.7027312136839643</v>
      </c>
      <c r="AB19" s="203">
        <f t="shared" si="13"/>
        <v>12.936927675421984</v>
      </c>
      <c r="AC19" s="85">
        <f t="shared" si="14"/>
        <v>9.76010630065063</v>
      </c>
      <c r="AD19" s="85">
        <f t="shared" si="14"/>
        <v>-4.596434970818123</v>
      </c>
      <c r="AE19" s="85">
        <f t="shared" si="15"/>
        <v>23.830143588609904</v>
      </c>
      <c r="AF19" s="205">
        <f t="shared" si="16"/>
        <v>0.03571428571428572</v>
      </c>
      <c r="AG19" s="85">
        <f t="shared" si="21"/>
        <v>226.40733264369442</v>
      </c>
      <c r="AH19" s="85">
        <f t="shared" si="22"/>
        <v>1.9893860738614042</v>
      </c>
      <c r="AI19" s="85">
        <f t="shared" si="23"/>
        <v>-112.87090174310717</v>
      </c>
      <c r="AJ19" s="85">
        <f t="shared" si="24"/>
        <v>-197.71679843753878</v>
      </c>
      <c r="AK19" s="85">
        <f t="shared" si="25"/>
        <v>-115.67940522881894</v>
      </c>
      <c r="AL19" s="85">
        <f t="shared" si="26"/>
        <v>196.15994075910265</v>
      </c>
      <c r="AM19" s="97">
        <f t="shared" si="17"/>
        <v>226.41607260038623</v>
      </c>
      <c r="AN19" s="97">
        <f t="shared" si="18"/>
        <v>227.66592376702425</v>
      </c>
      <c r="AO19" s="105">
        <f t="shared" si="19"/>
        <v>227.72888958739506</v>
      </c>
      <c r="AP19" s="1"/>
      <c r="AQ19" s="191">
        <f t="shared" si="27"/>
        <v>4920.037907120405</v>
      </c>
      <c r="AR19" s="185">
        <f t="shared" si="28"/>
        <v>-2214.710866140427</v>
      </c>
      <c r="AS19" s="185">
        <f t="shared" si="29"/>
        <v>2738.9570524043656</v>
      </c>
      <c r="AT19" s="185">
        <f t="shared" si="30"/>
        <v>-1150.2902611544582</v>
      </c>
      <c r="AU19" s="185">
        <f t="shared" si="31"/>
        <v>2734.677900479078</v>
      </c>
      <c r="AV19" s="185">
        <f t="shared" si="32"/>
        <v>-1162.5284449761407</v>
      </c>
      <c r="AW19" s="192">
        <f t="shared" si="33"/>
        <v>10.393672860003848</v>
      </c>
      <c r="AX19" s="192">
        <f t="shared" si="34"/>
        <v>-4.527529572271026</v>
      </c>
      <c r="AY19" s="193">
        <f t="shared" si="35"/>
        <v>11.336973121101119</v>
      </c>
      <c r="BA19" s="199">
        <f t="shared" si="36"/>
        <v>36.599621979465404</v>
      </c>
    </row>
    <row r="20" spans="1:53" ht="12.75">
      <c r="A20" s="49" t="s">
        <v>280</v>
      </c>
      <c r="B20" s="136" t="str">
        <f>B19</f>
        <v>C.GEN</v>
      </c>
      <c r="C20" s="39" t="s">
        <v>3</v>
      </c>
      <c r="D20" s="39" t="s">
        <v>70</v>
      </c>
      <c r="E20" s="40"/>
      <c r="F20" s="40"/>
      <c r="G20" s="40">
        <v>1</v>
      </c>
      <c r="H20" s="89">
        <f t="shared" si="0"/>
        <v>10</v>
      </c>
      <c r="I20" s="138">
        <v>50</v>
      </c>
      <c r="J20" s="39"/>
      <c r="K20" s="41">
        <v>5</v>
      </c>
      <c r="L20" s="40">
        <v>1</v>
      </c>
      <c r="M20" s="41" t="s">
        <v>245</v>
      </c>
      <c r="N20" s="39">
        <v>25</v>
      </c>
      <c r="O20" s="89">
        <f>IF(I20,VLOOKUP(N20,TUBOS,IF(OR(J20="RST",J20=""),3,2)),"")</f>
        <v>50</v>
      </c>
      <c r="P20" s="63">
        <f>IF(I20,VLOOKUP(N20,Imax_RBT,K20+1)*L20,"")</f>
        <v>84</v>
      </c>
      <c r="Q20" s="88">
        <f t="shared" si="20"/>
        <v>97.65924863530081</v>
      </c>
      <c r="R20" s="29">
        <f t="shared" si="3"/>
        <v>3.4589069073800545</v>
      </c>
      <c r="S20" s="35">
        <f t="shared" si="4"/>
        <v>1.4977506255582977</v>
      </c>
      <c r="T20" s="85">
        <f t="shared" si="5"/>
        <v>1.2850000000000004</v>
      </c>
      <c r="U20" s="85">
        <f t="shared" si="6"/>
      </c>
      <c r="V20" s="110">
        <f t="shared" si="7"/>
      </c>
      <c r="W20" s="203">
        <f>IF($K$10="Sí",IF(OR($J20="R",$J20="RST"),$V20*COS(-ACOS($F20)))+$G20*SUMIF(INI,$C20,R_RE),0)</f>
        <v>1.7753520777580991</v>
      </c>
      <c r="X20" s="203">
        <f t="shared" si="9"/>
        <v>-0.36050061506335607</v>
      </c>
      <c r="Y20" s="203">
        <f t="shared" si="10"/>
        <v>-1.3023074016431824</v>
      </c>
      <c r="Z20" s="203">
        <f t="shared" si="11"/>
        <v>-1.4731124710936663</v>
      </c>
      <c r="AA20" s="203">
        <f t="shared" si="12"/>
        <v>-0.6035452187959394</v>
      </c>
      <c r="AB20" s="203">
        <f t="shared" si="13"/>
        <v>1.8015430054600525</v>
      </c>
      <c r="AC20" s="85">
        <f t="shared" si="14"/>
        <v>-0.13050054268102262</v>
      </c>
      <c r="AD20" s="85">
        <f t="shared" si="14"/>
        <v>-0.032070080696969816</v>
      </c>
      <c r="AE20" s="85">
        <f t="shared" si="15"/>
        <v>1.966231146347322</v>
      </c>
      <c r="AF20" s="205">
        <f t="shared" si="16"/>
        <v>0.03571428571428572</v>
      </c>
      <c r="AG20" s="85">
        <f t="shared" si="21"/>
        <v>227.47627673965525</v>
      </c>
      <c r="AH20" s="85">
        <f t="shared" si="22"/>
        <v>1.4967376954071223</v>
      </c>
      <c r="AI20" s="85">
        <f t="shared" si="23"/>
        <v>-112.8408813203222</v>
      </c>
      <c r="AJ20" s="85">
        <f t="shared" si="24"/>
        <v>-198.1108814640961</v>
      </c>
      <c r="AK20" s="85">
        <f t="shared" si="25"/>
        <v>-115.36542591280309</v>
      </c>
      <c r="AL20" s="85">
        <f t="shared" si="26"/>
        <v>196.3946200369541</v>
      </c>
      <c r="AM20" s="97">
        <f t="shared" si="17"/>
        <v>227.48120076847027</v>
      </c>
      <c r="AN20" s="97">
        <f t="shared" si="18"/>
        <v>227.99338992968237</v>
      </c>
      <c r="AO20" s="105">
        <f t="shared" si="19"/>
        <v>227.77187770991844</v>
      </c>
      <c r="AP20" s="1"/>
      <c r="AQ20" s="191">
        <f t="shared" si="27"/>
        <v>403.31090569064054</v>
      </c>
      <c r="AR20" s="185">
        <f t="shared" si="28"/>
        <v>-84.66257405436781</v>
      </c>
      <c r="AS20" s="185">
        <f t="shared" si="29"/>
        <v>438.79312509551454</v>
      </c>
      <c r="AT20" s="185">
        <f t="shared" si="30"/>
        <v>-91.77395775458055</v>
      </c>
      <c r="AU20" s="185">
        <f t="shared" si="31"/>
        <v>423.44160526158885</v>
      </c>
      <c r="AV20" s="185">
        <f t="shared" si="32"/>
        <v>-89.30274220458146</v>
      </c>
      <c r="AW20" s="192">
        <f t="shared" si="33"/>
        <v>1.265545636047744</v>
      </c>
      <c r="AX20" s="192">
        <f t="shared" si="34"/>
        <v>-0.2657392740135298</v>
      </c>
      <c r="AY20" s="193">
        <f t="shared" si="35"/>
        <v>1.2931446627012488</v>
      </c>
      <c r="BA20" s="199">
        <f t="shared" si="36"/>
        <v>0.3848494117034569</v>
      </c>
    </row>
    <row r="21" spans="1:53" ht="12.75">
      <c r="A21" s="49" t="s">
        <v>281</v>
      </c>
      <c r="B21" s="136" t="str">
        <f>C17</f>
        <v>ALUMBRADO</v>
      </c>
      <c r="C21" s="39" t="s">
        <v>263</v>
      </c>
      <c r="D21" s="39" t="s">
        <v>71</v>
      </c>
      <c r="E21" s="137">
        <v>0.02</v>
      </c>
      <c r="F21" s="40">
        <v>0.8</v>
      </c>
      <c r="G21" s="40">
        <v>1</v>
      </c>
      <c r="H21" s="89">
        <f t="shared" si="0"/>
        <v>10</v>
      </c>
      <c r="I21" s="138">
        <v>7</v>
      </c>
      <c r="J21" s="202" t="s">
        <v>230</v>
      </c>
      <c r="K21" s="41">
        <v>4</v>
      </c>
      <c r="L21" s="40">
        <v>1</v>
      </c>
      <c r="M21" s="41" t="s">
        <v>245</v>
      </c>
      <c r="N21" s="39">
        <v>6</v>
      </c>
      <c r="O21" s="89">
        <f>IF(I21,VLOOKUP(N21,TUBOS,IF(OR(J21="RST",J21=""),3,2)),"")</f>
        <v>25</v>
      </c>
      <c r="P21" s="63">
        <f>IF(I21,VLOOKUP(N21,Imax_RBT,K21+1)*L21,"")</f>
        <v>32</v>
      </c>
      <c r="Q21" s="88">
        <f t="shared" si="20"/>
        <v>99.6617088266467</v>
      </c>
      <c r="R21" s="29">
        <f t="shared" si="3"/>
        <v>4.356821172313744</v>
      </c>
      <c r="S21" s="35">
        <f t="shared" si="4"/>
        <v>1.8865589074848006</v>
      </c>
      <c r="T21" s="85">
        <f t="shared" si="5"/>
        <v>0.02</v>
      </c>
      <c r="U21" s="85">
        <f t="shared" si="6"/>
        <v>0.014999999999999996</v>
      </c>
      <c r="V21" s="110">
        <f t="shared" si="7"/>
        <v>0.10825317547305481</v>
      </c>
      <c r="W21" s="203">
        <f t="shared" si="8"/>
        <v>0.08660254037844385</v>
      </c>
      <c r="X21" s="203">
        <f t="shared" si="9"/>
        <v>-0.06495190528383288</v>
      </c>
      <c r="Y21" s="203">
        <f t="shared" si="10"/>
        <v>0</v>
      </c>
      <c r="Z21" s="203">
        <f t="shared" si="11"/>
        <v>0</v>
      </c>
      <c r="AA21" s="203">
        <f t="shared" si="12"/>
        <v>0</v>
      </c>
      <c r="AB21" s="203">
        <f t="shared" si="13"/>
        <v>0</v>
      </c>
      <c r="AC21" s="85">
        <f t="shared" si="14"/>
        <v>0.08660254037844385</v>
      </c>
      <c r="AD21" s="85">
        <f t="shared" si="14"/>
        <v>-0.06495190528383288</v>
      </c>
      <c r="AE21" s="85">
        <f t="shared" si="15"/>
        <v>0.10825317547305481</v>
      </c>
      <c r="AF21" s="205">
        <f t="shared" si="16"/>
        <v>0.020833333333333332</v>
      </c>
      <c r="AG21" s="85">
        <f t="shared" si="21"/>
        <v>226.57416906360854</v>
      </c>
      <c r="AH21" s="85">
        <f t="shared" si="22"/>
        <v>2.0326425851764878</v>
      </c>
      <c r="AI21" s="85">
        <f t="shared" si="23"/>
        <v>-111.10176620282276</v>
      </c>
      <c r="AJ21" s="85">
        <f t="shared" si="24"/>
        <v>-197.4355125857619</v>
      </c>
      <c r="AK21" s="85">
        <f t="shared" si="25"/>
        <v>-115.09529012685128</v>
      </c>
      <c r="AL21" s="85">
        <f t="shared" si="26"/>
        <v>194.55086135113928</v>
      </c>
      <c r="AM21" s="97">
        <f t="shared" si="17"/>
        <v>226.58328650353658</v>
      </c>
      <c r="AN21" s="97">
        <f t="shared" si="18"/>
        <v>226.54885584215435</v>
      </c>
      <c r="AO21" s="105">
        <f t="shared" si="19"/>
        <v>226.0463745824168</v>
      </c>
      <c r="AP21" s="1"/>
      <c r="AQ21" s="191">
        <f t="shared" si="27"/>
        <v>19.489874616375253</v>
      </c>
      <c r="AR21" s="185">
        <f t="shared" si="28"/>
        <v>-14.89245598034033</v>
      </c>
      <c r="AS21" s="185">
        <f t="shared" si="29"/>
        <v>0</v>
      </c>
      <c r="AT21" s="185">
        <f t="shared" si="30"/>
        <v>0</v>
      </c>
      <c r="AU21" s="185">
        <f t="shared" si="31"/>
        <v>0</v>
      </c>
      <c r="AV21" s="185">
        <f t="shared" si="32"/>
        <v>0</v>
      </c>
      <c r="AW21" s="192">
        <f t="shared" si="33"/>
        <v>0.019489874616375254</v>
      </c>
      <c r="AX21" s="192">
        <f t="shared" si="34"/>
        <v>-0.01489245598034033</v>
      </c>
      <c r="AY21" s="193">
        <f t="shared" si="35"/>
        <v>0.024528360273128793</v>
      </c>
      <c r="BA21" s="199">
        <f t="shared" si="36"/>
        <v>0.0004882812499999998</v>
      </c>
    </row>
    <row r="22" spans="1:53" ht="12.75">
      <c r="A22" s="49" t="s">
        <v>282</v>
      </c>
      <c r="B22" s="136" t="s">
        <v>0</v>
      </c>
      <c r="C22" s="39" t="s">
        <v>4</v>
      </c>
      <c r="D22" s="39" t="s">
        <v>72</v>
      </c>
      <c r="E22" s="137">
        <v>0.458181818181818</v>
      </c>
      <c r="F22" s="40">
        <v>0.87</v>
      </c>
      <c r="G22" s="40">
        <v>1</v>
      </c>
      <c r="H22" s="89">
        <f aca="true" t="shared" si="37" ref="H22:H33">VLOOKUP(AE22,Protecciones,2)</f>
        <v>10</v>
      </c>
      <c r="I22" s="138">
        <v>8</v>
      </c>
      <c r="J22" s="202" t="s">
        <v>231</v>
      </c>
      <c r="K22" s="41">
        <v>4</v>
      </c>
      <c r="L22" s="40">
        <v>1</v>
      </c>
      <c r="M22" s="41" t="s">
        <v>245</v>
      </c>
      <c r="N22" s="39">
        <v>2.5</v>
      </c>
      <c r="O22" s="89">
        <f t="shared" si="1"/>
        <v>20</v>
      </c>
      <c r="P22" s="63">
        <f t="shared" si="2"/>
        <v>18.5</v>
      </c>
      <c r="Q22" s="88">
        <f t="shared" si="20"/>
        <v>87.67328070526258</v>
      </c>
      <c r="R22" s="29">
        <f t="shared" si="3"/>
        <v>4.616522831173995</v>
      </c>
      <c r="S22" s="35">
        <f t="shared" si="4"/>
        <v>1.9990130244737694</v>
      </c>
      <c r="T22" s="85">
        <f t="shared" si="5"/>
        <v>0.458181818181818</v>
      </c>
      <c r="U22" s="85">
        <f t="shared" si="6"/>
        <v>0.2596636025058728</v>
      </c>
      <c r="V22" s="110">
        <f t="shared" si="7"/>
        <v>2.2804430695264206</v>
      </c>
      <c r="W22" s="203">
        <f t="shared" si="8"/>
        <v>0</v>
      </c>
      <c r="X22" s="203">
        <f t="shared" si="9"/>
        <v>0</v>
      </c>
      <c r="Y22" s="203">
        <f t="shared" si="10"/>
        <v>-1.9657312446410156</v>
      </c>
      <c r="Z22" s="203">
        <f t="shared" si="11"/>
        <v>-1.155993627661142</v>
      </c>
      <c r="AA22" s="203">
        <f t="shared" si="12"/>
        <v>0</v>
      </c>
      <c r="AB22" s="203">
        <f t="shared" si="13"/>
        <v>0</v>
      </c>
      <c r="AC22" s="85">
        <f t="shared" si="14"/>
        <v>-1.9657312446410156</v>
      </c>
      <c r="AD22" s="85">
        <f t="shared" si="14"/>
        <v>-1.155993627661142</v>
      </c>
      <c r="AE22" s="85">
        <f t="shared" si="15"/>
        <v>2.2804430695264206</v>
      </c>
      <c r="AF22" s="205">
        <f aca="true" t="shared" si="38" ref="AF22:AF30">IF(OR(M22=0,N22=0),0,IF(M22="Cu",I22/56/N22,I22/35/N22))</f>
        <v>0.05714285714285714</v>
      </c>
      <c r="AG22" s="85">
        <f t="shared" si="21"/>
        <v>226.57777750279098</v>
      </c>
      <c r="AH22" s="85">
        <f t="shared" si="22"/>
        <v>2.029936255789661</v>
      </c>
      <c r="AI22" s="85">
        <f t="shared" si="23"/>
        <v>-110.87711120343522</v>
      </c>
      <c r="AJ22" s="85">
        <f t="shared" si="24"/>
        <v>-197.3033990283149</v>
      </c>
      <c r="AK22" s="85">
        <f t="shared" si="25"/>
        <v>-115.09529012685128</v>
      </c>
      <c r="AL22" s="85">
        <f t="shared" si="26"/>
        <v>194.55086135113928</v>
      </c>
      <c r="AM22" s="97">
        <f t="shared" si="17"/>
        <v>226.5868705360194</v>
      </c>
      <c r="AN22" s="97">
        <f t="shared" si="18"/>
        <v>226.32358484467633</v>
      </c>
      <c r="AO22" s="105">
        <f t="shared" si="19"/>
        <v>226.0463745824168</v>
      </c>
      <c r="AP22" s="1"/>
      <c r="AQ22" s="191">
        <f t="shared" si="27"/>
        <v>0</v>
      </c>
      <c r="AR22" s="185">
        <f t="shared" si="28"/>
        <v>0</v>
      </c>
      <c r="AS22" s="185">
        <f t="shared" si="29"/>
        <v>446.0360738007446</v>
      </c>
      <c r="AT22" s="185">
        <f t="shared" si="30"/>
        <v>-259.67222213918546</v>
      </c>
      <c r="AU22" s="185">
        <f t="shared" si="31"/>
        <v>0</v>
      </c>
      <c r="AV22" s="185">
        <f t="shared" si="32"/>
        <v>0</v>
      </c>
      <c r="AW22" s="192">
        <f t="shared" si="33"/>
        <v>0.4460360738007446</v>
      </c>
      <c r="AX22" s="192">
        <f t="shared" si="34"/>
        <v>-0.25967222213918545</v>
      </c>
      <c r="AY22" s="193">
        <f t="shared" si="35"/>
        <v>0.516118050529417</v>
      </c>
      <c r="BA22" s="199">
        <f t="shared" si="36"/>
        <v>0.5943337820972666</v>
      </c>
    </row>
    <row r="23" spans="1:53" ht="12.75" customHeight="1">
      <c r="A23" s="49" t="s">
        <v>283</v>
      </c>
      <c r="B23" s="136" t="s">
        <v>0</v>
      </c>
      <c r="C23" s="39" t="s">
        <v>5</v>
      </c>
      <c r="D23" s="39" t="s">
        <v>73</v>
      </c>
      <c r="E23" s="137">
        <v>0.458181818181818</v>
      </c>
      <c r="F23" s="40">
        <v>0.87</v>
      </c>
      <c r="G23" s="40">
        <v>1</v>
      </c>
      <c r="H23" s="89">
        <f t="shared" si="37"/>
        <v>10</v>
      </c>
      <c r="I23" s="138">
        <v>10</v>
      </c>
      <c r="J23" s="202" t="s">
        <v>232</v>
      </c>
      <c r="K23" s="41">
        <v>4</v>
      </c>
      <c r="L23" s="40">
        <v>1</v>
      </c>
      <c r="M23" s="41" t="s">
        <v>245</v>
      </c>
      <c r="N23" s="39">
        <v>2.5</v>
      </c>
      <c r="O23" s="89">
        <f>IF(I23,VLOOKUP(N23,TUBOS,IF(OR(J23="RST",J23=""),3,2)),"")</f>
        <v>20</v>
      </c>
      <c r="P23" s="63">
        <f t="shared" si="2"/>
        <v>18.5</v>
      </c>
      <c r="Q23" s="88">
        <f t="shared" si="20"/>
        <v>87.67328070526258</v>
      </c>
      <c r="R23" s="29">
        <f aca="true" t="shared" si="39" ref="R23:R30">IF(J23="R",$S$8-AM23+$S$9,IF(J23="S",$S$8-AN23+$S$9,IF(J23="T",$S$8-AO23+$S$9,$S$8-MIN(AM23:AO23)+$S$9)))</f>
        <v>5.175378904445125</v>
      </c>
      <c r="S23" s="35">
        <f t="shared" si="4"/>
        <v>2.2410048027297775</v>
      </c>
      <c r="T23" s="85">
        <f aca="true" t="shared" si="40" ref="T23:T30">IF(ISBLANK(E23),SUMIF(INI,C23,POT_RESULT),E23*G23)</f>
        <v>0.458181818181818</v>
      </c>
      <c r="U23" s="85">
        <f aca="true" t="shared" si="41" ref="U23:U30">IF(ISBLANK(E23),"",TAN(ACOS(F23))*T23)</f>
        <v>0.2596636025058728</v>
      </c>
      <c r="V23" s="110">
        <f aca="true" t="shared" si="42" ref="V23:V30">IF(ISBLANK(J23),"",G23*IF(J23="RST",E23*1000/SQRT(3)/$S$7/F23,E23*1000/$S$8/F23))</f>
        <v>2.2804430695264206</v>
      </c>
      <c r="W23" s="203">
        <f t="shared" si="8"/>
        <v>0</v>
      </c>
      <c r="X23" s="203">
        <f t="shared" si="9"/>
        <v>0</v>
      </c>
      <c r="Y23" s="203">
        <f t="shared" si="10"/>
        <v>0</v>
      </c>
      <c r="Z23" s="203">
        <f t="shared" si="11"/>
        <v>0</v>
      </c>
      <c r="AA23" s="203">
        <f t="shared" si="12"/>
        <v>-0.018254225846969622</v>
      </c>
      <c r="AB23" s="203">
        <f t="shared" si="13"/>
        <v>2.2803700087024934</v>
      </c>
      <c r="AC23" s="85">
        <f aca="true" t="shared" si="43" ref="AC23:AC30">W23+Y23+AA23</f>
        <v>-0.018254225846969622</v>
      </c>
      <c r="AD23" s="85">
        <f aca="true" t="shared" si="44" ref="AD23:AD30">X23+Z23+AB23</f>
        <v>2.2803700087024934</v>
      </c>
      <c r="AE23" s="85">
        <f aca="true" t="shared" si="45" ref="AE23:AE30">MAX(SQRT(W23^2+X23^2),SQRT(Y23^2+Z23^2),SQRT(AA23^2+AB23^2),SQRT(AC23^2+AD23^2))</f>
        <v>2.2804430695264206</v>
      </c>
      <c r="AF23" s="205">
        <f t="shared" si="38"/>
        <v>0.07142857142857142</v>
      </c>
      <c r="AG23" s="85">
        <f aca="true" t="shared" si="46" ref="AG23:AG30">SUMIF(FIN,$B23,ac_R_Re)-IF(W23*X23&lt;&gt;0,$AF23*(W23+AC23))</f>
        <v>226.57777750279098</v>
      </c>
      <c r="AH23" s="85">
        <f aca="true" t="shared" si="47" ref="AH23:AH30">SUMIF(FIN,$B23,ac_R_Im)-IF(W23*X23&lt;&gt;0,$AF23*(X23+AD23))</f>
        <v>2.029936255789661</v>
      </c>
      <c r="AI23" s="85">
        <f aca="true" t="shared" si="48" ref="AI23:AI30">SUMIF(FIN,B23,ac_S_Re)-IF(Y23*Z23&lt;&gt;0,$AF23*(Y23+AC23))</f>
        <v>-111.10176620282276</v>
      </c>
      <c r="AJ23" s="85">
        <f aca="true" t="shared" si="49" ref="AJ23:AJ30">SUMIF(FIN,B23,ac_S_Im)-IF(Y23*Z23&lt;&gt;0,AF23*(Z23+AD23))</f>
        <v>-197.4355125857619</v>
      </c>
      <c r="AK23" s="85">
        <f aca="true" t="shared" si="50" ref="AK23:AK30">SUMIF(FIN,B23,ac_T_Re)-IF(AA23*AB23&lt;&gt;0,AF23*(AA23+AC23))</f>
        <v>-115.09268238030171</v>
      </c>
      <c r="AL23" s="85">
        <f aca="true" t="shared" si="51" ref="AL23:AL30">SUMIF(FIN,B23,ac_T_Im)-IF(AA23*AB23&lt;&gt;0,AF23*(AB23+AD23))</f>
        <v>194.22509420703892</v>
      </c>
      <c r="AM23" s="97">
        <f aca="true" t="shared" si="52" ref="AM23:AM30">IF($K$10="Sí",SQRT(AG23^2+AH23^2),0)</f>
        <v>226.5868705360194</v>
      </c>
      <c r="AN23" s="97">
        <f aca="true" t="shared" si="53" ref="AN23:AN30">IF($L$10="Sí",SQRT(AI23^2+AJ23^2),0)</f>
        <v>226.54885584215435</v>
      </c>
      <c r="AO23" s="105">
        <f aca="true" t="shared" si="54" ref="AO23:AO30">IF($M$10="Sí",SQRT(AK23^2+AL23^2),0)</f>
        <v>225.7647287714052</v>
      </c>
      <c r="AP23" s="1"/>
      <c r="AQ23" s="191">
        <f t="shared" si="27"/>
        <v>0</v>
      </c>
      <c r="AR23" s="185">
        <f t="shared" si="28"/>
        <v>0</v>
      </c>
      <c r="AS23" s="185">
        <f t="shared" si="29"/>
        <v>0</v>
      </c>
      <c r="AT23" s="185">
        <f t="shared" si="30"/>
        <v>0</v>
      </c>
      <c r="AU23" s="185">
        <f t="shared" si="31"/>
        <v>445.0060075846515</v>
      </c>
      <c r="AV23" s="185">
        <f t="shared" si="32"/>
        <v>-258.90847238635763</v>
      </c>
      <c r="AW23" s="192">
        <f t="shared" si="33"/>
        <v>0.44500600758465153</v>
      </c>
      <c r="AX23" s="192">
        <f t="shared" si="34"/>
        <v>-0.2589084723863576</v>
      </c>
      <c r="AY23" s="193">
        <f t="shared" si="35"/>
        <v>0.514843611070263</v>
      </c>
      <c r="BA23" s="199">
        <f t="shared" si="36"/>
        <v>0.7429172276215832</v>
      </c>
    </row>
    <row r="24" spans="1:53" ht="12.75" customHeight="1">
      <c r="A24" s="49" t="s">
        <v>284</v>
      </c>
      <c r="B24" s="136" t="s">
        <v>0</v>
      </c>
      <c r="C24" s="39" t="s">
        <v>6</v>
      </c>
      <c r="D24" s="39" t="s">
        <v>74</v>
      </c>
      <c r="E24" s="137">
        <v>0.458181818181818</v>
      </c>
      <c r="F24" s="40">
        <v>0.87</v>
      </c>
      <c r="G24" s="40">
        <v>1</v>
      </c>
      <c r="H24" s="89">
        <f t="shared" si="37"/>
        <v>10</v>
      </c>
      <c r="I24" s="138">
        <v>15</v>
      </c>
      <c r="J24" s="202" t="s">
        <v>230</v>
      </c>
      <c r="K24" s="41">
        <v>4</v>
      </c>
      <c r="L24" s="40">
        <v>1</v>
      </c>
      <c r="M24" s="41" t="s">
        <v>245</v>
      </c>
      <c r="N24" s="39">
        <v>2.5</v>
      </c>
      <c r="O24" s="89">
        <f>IF(I24,VLOOKUP(N24,TUBOS,IF(OR(J24="RST",J24=""),3,2)),"")</f>
        <v>20</v>
      </c>
      <c r="P24" s="63">
        <f t="shared" si="2"/>
        <v>18.5</v>
      </c>
      <c r="Q24" s="88">
        <f t="shared" si="20"/>
        <v>87.67328070526258</v>
      </c>
      <c r="R24" s="29">
        <f t="shared" si="39"/>
        <v>4.776068902299329</v>
      </c>
      <c r="S24" s="35">
        <f t="shared" si="4"/>
        <v>2.068098499808038</v>
      </c>
      <c r="T24" s="85">
        <f t="shared" si="40"/>
        <v>0.458181818181818</v>
      </c>
      <c r="U24" s="85">
        <f t="shared" si="41"/>
        <v>0.2596636025058728</v>
      </c>
      <c r="V24" s="110">
        <f t="shared" si="42"/>
        <v>2.2804430695264206</v>
      </c>
      <c r="W24" s="203">
        <f t="shared" si="8"/>
        <v>1.983985470487986</v>
      </c>
      <c r="X24" s="203">
        <f t="shared" si="9"/>
        <v>-1.1243763810413523</v>
      </c>
      <c r="Y24" s="203">
        <f t="shared" si="10"/>
        <v>0</v>
      </c>
      <c r="Z24" s="203">
        <f t="shared" si="11"/>
        <v>0</v>
      </c>
      <c r="AA24" s="203">
        <f t="shared" si="12"/>
        <v>0</v>
      </c>
      <c r="AB24" s="203">
        <f t="shared" si="13"/>
        <v>0</v>
      </c>
      <c r="AC24" s="85">
        <f t="shared" si="43"/>
        <v>1.983985470487986</v>
      </c>
      <c r="AD24" s="85">
        <f t="shared" si="44"/>
        <v>-1.1243763810413523</v>
      </c>
      <c r="AE24" s="85">
        <f t="shared" si="45"/>
        <v>2.2804430695264206</v>
      </c>
      <c r="AF24" s="205">
        <f t="shared" si="38"/>
        <v>0.10714285714285714</v>
      </c>
      <c r="AG24" s="85">
        <f t="shared" si="46"/>
        <v>226.15263775911498</v>
      </c>
      <c r="AH24" s="85">
        <f t="shared" si="47"/>
        <v>2.270874051727094</v>
      </c>
      <c r="AI24" s="85">
        <f t="shared" si="48"/>
        <v>-111.10176620282276</v>
      </c>
      <c r="AJ24" s="85">
        <f t="shared" si="49"/>
        <v>-197.4355125857619</v>
      </c>
      <c r="AK24" s="85">
        <f t="shared" si="50"/>
        <v>-115.09529012685128</v>
      </c>
      <c r="AL24" s="85">
        <f t="shared" si="51"/>
        <v>194.55086135113928</v>
      </c>
      <c r="AM24" s="97">
        <f t="shared" si="52"/>
        <v>226.164038773551</v>
      </c>
      <c r="AN24" s="97">
        <f t="shared" si="53"/>
        <v>226.54885584215435</v>
      </c>
      <c r="AO24" s="105">
        <f t="shared" si="54"/>
        <v>226.0463745824168</v>
      </c>
      <c r="AP24" s="1"/>
      <c r="AQ24" s="191">
        <f t="shared" si="27"/>
        <v>446.1302302785352</v>
      </c>
      <c r="AR24" s="185">
        <f t="shared" si="28"/>
        <v>-258.7860655304843</v>
      </c>
      <c r="AS24" s="185">
        <f t="shared" si="29"/>
        <v>0</v>
      </c>
      <c r="AT24" s="185">
        <f t="shared" si="30"/>
        <v>0</v>
      </c>
      <c r="AU24" s="185">
        <f t="shared" si="31"/>
        <v>0</v>
      </c>
      <c r="AV24" s="185">
        <f t="shared" si="32"/>
        <v>0</v>
      </c>
      <c r="AW24" s="192">
        <f t="shared" si="33"/>
        <v>0.44613023027853516</v>
      </c>
      <c r="AX24" s="192">
        <f t="shared" si="34"/>
        <v>-0.2587860655304843</v>
      </c>
      <c r="AY24" s="193">
        <f t="shared" si="35"/>
        <v>0.515754214797249</v>
      </c>
      <c r="BA24" s="199">
        <f t="shared" si="36"/>
        <v>1.114375841432375</v>
      </c>
    </row>
    <row r="25" spans="1:53" ht="12.75">
      <c r="A25" s="49" t="s">
        <v>285</v>
      </c>
      <c r="B25" s="136" t="s">
        <v>0</v>
      </c>
      <c r="C25" s="39" t="s">
        <v>7</v>
      </c>
      <c r="D25" s="39" t="s">
        <v>75</v>
      </c>
      <c r="E25" s="137">
        <v>0.458181818181818</v>
      </c>
      <c r="F25" s="40">
        <v>0.87</v>
      </c>
      <c r="G25" s="40">
        <v>1</v>
      </c>
      <c r="H25" s="89">
        <f t="shared" si="37"/>
        <v>10</v>
      </c>
      <c r="I25" s="138">
        <v>20</v>
      </c>
      <c r="J25" s="202" t="s">
        <v>231</v>
      </c>
      <c r="K25" s="41">
        <v>4</v>
      </c>
      <c r="L25" s="40">
        <v>1</v>
      </c>
      <c r="M25" s="41" t="s">
        <v>245</v>
      </c>
      <c r="N25" s="39">
        <v>2.5</v>
      </c>
      <c r="O25" s="89">
        <f t="shared" si="1"/>
        <v>20</v>
      </c>
      <c r="P25" s="63">
        <f t="shared" si="2"/>
        <v>18.5</v>
      </c>
      <c r="Q25" s="88">
        <f t="shared" si="20"/>
        <v>87.67328070526258</v>
      </c>
      <c r="R25" s="29">
        <f t="shared" si="39"/>
        <v>4.9542868114481</v>
      </c>
      <c r="S25" s="35">
        <f t="shared" si="4"/>
        <v>2.1452691181741295</v>
      </c>
      <c r="T25" s="85">
        <f t="shared" si="40"/>
        <v>0.458181818181818</v>
      </c>
      <c r="U25" s="85">
        <f t="shared" si="41"/>
        <v>0.2596636025058728</v>
      </c>
      <c r="V25" s="110">
        <f t="shared" si="42"/>
        <v>2.2804430695264206</v>
      </c>
      <c r="W25" s="203">
        <f t="shared" si="8"/>
        <v>0</v>
      </c>
      <c r="X25" s="203">
        <f t="shared" si="9"/>
        <v>0</v>
      </c>
      <c r="Y25" s="203">
        <f t="shared" si="10"/>
        <v>-1.9657312446410156</v>
      </c>
      <c r="Z25" s="203">
        <f t="shared" si="11"/>
        <v>-1.155993627661142</v>
      </c>
      <c r="AA25" s="203">
        <f t="shared" si="12"/>
        <v>0</v>
      </c>
      <c r="AB25" s="203">
        <f t="shared" si="13"/>
        <v>0</v>
      </c>
      <c r="AC25" s="85">
        <f t="shared" si="43"/>
        <v>-1.9657312446410156</v>
      </c>
      <c r="AD25" s="85">
        <f t="shared" si="44"/>
        <v>-1.155993627661142</v>
      </c>
      <c r="AE25" s="85">
        <f t="shared" si="45"/>
        <v>2.2804430695264206</v>
      </c>
      <c r="AF25" s="205">
        <f t="shared" si="38"/>
        <v>0.14285714285714285</v>
      </c>
      <c r="AG25" s="85">
        <f t="shared" si="46"/>
        <v>226.57777750279098</v>
      </c>
      <c r="AH25" s="85">
        <f t="shared" si="47"/>
        <v>2.029936255789661</v>
      </c>
      <c r="AI25" s="85">
        <f t="shared" si="48"/>
        <v>-110.5401287043539</v>
      </c>
      <c r="AJ25" s="85">
        <f t="shared" si="49"/>
        <v>-197.10522869214444</v>
      </c>
      <c r="AK25" s="85">
        <f t="shared" si="50"/>
        <v>-115.09529012685128</v>
      </c>
      <c r="AL25" s="85">
        <f t="shared" si="51"/>
        <v>194.55086135113928</v>
      </c>
      <c r="AM25" s="97">
        <f t="shared" si="52"/>
        <v>226.5868705360194</v>
      </c>
      <c r="AN25" s="97">
        <f t="shared" si="53"/>
        <v>225.98582086440223</v>
      </c>
      <c r="AO25" s="105">
        <f t="shared" si="54"/>
        <v>226.0463745824168</v>
      </c>
      <c r="AP25" s="1"/>
      <c r="AQ25" s="191">
        <f t="shared" si="27"/>
        <v>0</v>
      </c>
      <c r="AR25" s="185">
        <f t="shared" si="28"/>
        <v>0</v>
      </c>
      <c r="AS25" s="185">
        <f t="shared" si="29"/>
        <v>445.14457312759873</v>
      </c>
      <c r="AT25" s="185">
        <f t="shared" si="30"/>
        <v>-259.6722221391855</v>
      </c>
      <c r="AU25" s="185">
        <f t="shared" si="31"/>
        <v>0</v>
      </c>
      <c r="AV25" s="185">
        <f t="shared" si="32"/>
        <v>0</v>
      </c>
      <c r="AW25" s="192">
        <f t="shared" si="33"/>
        <v>0.44514457312759875</v>
      </c>
      <c r="AX25" s="192">
        <f t="shared" si="34"/>
        <v>-0.2596722221391855</v>
      </c>
      <c r="AY25" s="193">
        <f t="shared" si="35"/>
        <v>0.5153477990014652</v>
      </c>
      <c r="BA25" s="199">
        <f t="shared" si="36"/>
        <v>1.4858344552431666</v>
      </c>
    </row>
    <row r="26" spans="1:53" ht="12.75">
      <c r="A26" s="49" t="s">
        <v>286</v>
      </c>
      <c r="B26" s="136" t="s">
        <v>0</v>
      </c>
      <c r="C26" s="39" t="s">
        <v>8</v>
      </c>
      <c r="D26" s="39" t="s">
        <v>76</v>
      </c>
      <c r="E26" s="137">
        <v>0.458181818181818</v>
      </c>
      <c r="F26" s="40">
        <v>0.87</v>
      </c>
      <c r="G26" s="40">
        <v>1</v>
      </c>
      <c r="H26" s="89">
        <f t="shared" si="37"/>
        <v>10</v>
      </c>
      <c r="I26" s="138">
        <v>20</v>
      </c>
      <c r="J26" s="202" t="s">
        <v>232</v>
      </c>
      <c r="K26" s="41">
        <v>4</v>
      </c>
      <c r="L26" s="40">
        <v>1</v>
      </c>
      <c r="M26" s="41" t="s">
        <v>245</v>
      </c>
      <c r="N26" s="39">
        <v>2.5</v>
      </c>
      <c r="O26" s="89">
        <f t="shared" si="1"/>
        <v>20</v>
      </c>
      <c r="P26" s="63">
        <f t="shared" si="2"/>
        <v>18.5</v>
      </c>
      <c r="Q26" s="88">
        <f t="shared" si="20"/>
        <v>87.67328070526258</v>
      </c>
      <c r="R26" s="29">
        <f t="shared" si="39"/>
        <v>5.456905829985402</v>
      </c>
      <c r="S26" s="35">
        <f t="shared" si="4"/>
        <v>2.3629095374133824</v>
      </c>
      <c r="T26" s="85">
        <f t="shared" si="40"/>
        <v>0.458181818181818</v>
      </c>
      <c r="U26" s="85">
        <f t="shared" si="41"/>
        <v>0.2596636025058728</v>
      </c>
      <c r="V26" s="110">
        <f t="shared" si="42"/>
        <v>2.2804430695264206</v>
      </c>
      <c r="W26" s="203">
        <f t="shared" si="8"/>
        <v>0</v>
      </c>
      <c r="X26" s="203">
        <f t="shared" si="9"/>
        <v>0</v>
      </c>
      <c r="Y26" s="203">
        <f t="shared" si="10"/>
        <v>0</v>
      </c>
      <c r="Z26" s="203">
        <f t="shared" si="11"/>
        <v>0</v>
      </c>
      <c r="AA26" s="203">
        <f t="shared" si="12"/>
        <v>-0.018254225846969622</v>
      </c>
      <c r="AB26" s="203">
        <f t="shared" si="13"/>
        <v>2.2803700087024934</v>
      </c>
      <c r="AC26" s="85">
        <f t="shared" si="43"/>
        <v>-0.018254225846969622</v>
      </c>
      <c r="AD26" s="85">
        <f t="shared" si="44"/>
        <v>2.2803700087024934</v>
      </c>
      <c r="AE26" s="85">
        <f t="shared" si="45"/>
        <v>2.2804430695264206</v>
      </c>
      <c r="AF26" s="205">
        <f t="shared" si="38"/>
        <v>0.14285714285714285</v>
      </c>
      <c r="AG26" s="85">
        <f t="shared" si="46"/>
        <v>226.57777750279098</v>
      </c>
      <c r="AH26" s="85">
        <f t="shared" si="47"/>
        <v>2.029936255789661</v>
      </c>
      <c r="AI26" s="85">
        <f t="shared" si="48"/>
        <v>-111.10176620282276</v>
      </c>
      <c r="AJ26" s="85">
        <f t="shared" si="49"/>
        <v>-197.4355125857619</v>
      </c>
      <c r="AK26" s="85">
        <f t="shared" si="50"/>
        <v>-115.09007463375215</v>
      </c>
      <c r="AL26" s="85">
        <f t="shared" si="51"/>
        <v>193.89932706293857</v>
      </c>
      <c r="AM26" s="97">
        <f t="shared" si="52"/>
        <v>226.5868705360194</v>
      </c>
      <c r="AN26" s="97">
        <f t="shared" si="53"/>
        <v>226.54885584215435</v>
      </c>
      <c r="AO26" s="105">
        <f t="shared" si="54"/>
        <v>225.48320184586493</v>
      </c>
      <c r="AP26" s="1"/>
      <c r="AQ26" s="191">
        <f t="shared" si="27"/>
        <v>0</v>
      </c>
      <c r="AR26" s="185">
        <f t="shared" si="28"/>
        <v>0</v>
      </c>
      <c r="AS26" s="185">
        <f t="shared" si="29"/>
        <v>0</v>
      </c>
      <c r="AT26" s="185">
        <f t="shared" si="30"/>
        <v>0</v>
      </c>
      <c r="AU26" s="185">
        <f t="shared" si="31"/>
        <v>444.2630903570299</v>
      </c>
      <c r="AV26" s="185">
        <f t="shared" si="32"/>
        <v>-258.9084723863577</v>
      </c>
      <c r="AW26" s="192">
        <f t="shared" si="33"/>
        <v>0.44426309035702993</v>
      </c>
      <c r="AX26" s="192">
        <f t="shared" si="34"/>
        <v>-0.25890847238635767</v>
      </c>
      <c r="AY26" s="193">
        <f t="shared" si="35"/>
        <v>0.5142016049440296</v>
      </c>
      <c r="BA26" s="199">
        <f t="shared" si="36"/>
        <v>1.4858344552431664</v>
      </c>
    </row>
    <row r="27" spans="1:53" ht="12.75">
      <c r="A27" s="49" t="s">
        <v>287</v>
      </c>
      <c r="B27" s="136" t="s">
        <v>0</v>
      </c>
      <c r="C27" s="39" t="s">
        <v>9</v>
      </c>
      <c r="D27" s="39" t="s">
        <v>77</v>
      </c>
      <c r="E27" s="137">
        <v>0.458181818181818</v>
      </c>
      <c r="F27" s="40">
        <v>0.87</v>
      </c>
      <c r="G27" s="40">
        <v>1</v>
      </c>
      <c r="H27" s="89">
        <f t="shared" si="37"/>
        <v>10</v>
      </c>
      <c r="I27" s="138">
        <v>25</v>
      </c>
      <c r="J27" s="202" t="s">
        <v>230</v>
      </c>
      <c r="K27" s="41">
        <v>5</v>
      </c>
      <c r="L27" s="40">
        <v>1</v>
      </c>
      <c r="M27" s="41" t="s">
        <v>245</v>
      </c>
      <c r="N27" s="39">
        <v>2.5</v>
      </c>
      <c r="O27" s="89">
        <f t="shared" si="1"/>
        <v>20</v>
      </c>
      <c r="P27" s="63">
        <f t="shared" si="2"/>
        <v>21</v>
      </c>
      <c r="Q27" s="88">
        <f t="shared" si="20"/>
        <v>89.14074728796942</v>
      </c>
      <c r="R27" s="29">
        <f t="shared" si="39"/>
        <v>5.0578091544362564</v>
      </c>
      <c r="S27" s="35">
        <f t="shared" si="4"/>
        <v>2.190095607617644</v>
      </c>
      <c r="T27" s="85">
        <f t="shared" si="40"/>
        <v>0.458181818181818</v>
      </c>
      <c r="U27" s="85">
        <f t="shared" si="41"/>
        <v>0.2596636025058728</v>
      </c>
      <c r="V27" s="110">
        <f t="shared" si="42"/>
        <v>2.2804430695264206</v>
      </c>
      <c r="W27" s="203">
        <f t="shared" si="8"/>
        <v>1.983985470487986</v>
      </c>
      <c r="X27" s="203">
        <f t="shared" si="9"/>
        <v>-1.1243763810413523</v>
      </c>
      <c r="Y27" s="203">
        <f t="shared" si="10"/>
        <v>0</v>
      </c>
      <c r="Z27" s="203">
        <f t="shared" si="11"/>
        <v>0</v>
      </c>
      <c r="AA27" s="203">
        <f t="shared" si="12"/>
        <v>0</v>
      </c>
      <c r="AB27" s="203">
        <f t="shared" si="13"/>
        <v>0</v>
      </c>
      <c r="AC27" s="85">
        <f t="shared" si="43"/>
        <v>1.983985470487986</v>
      </c>
      <c r="AD27" s="85">
        <f t="shared" si="44"/>
        <v>-1.1243763810413523</v>
      </c>
      <c r="AE27" s="85">
        <f t="shared" si="45"/>
        <v>2.2804430695264206</v>
      </c>
      <c r="AF27" s="205">
        <f t="shared" si="38"/>
        <v>0.17857142857142858</v>
      </c>
      <c r="AG27" s="85">
        <f t="shared" si="46"/>
        <v>225.86921126333098</v>
      </c>
      <c r="AH27" s="85">
        <f t="shared" si="47"/>
        <v>2.4314992490187155</v>
      </c>
      <c r="AI27" s="85">
        <f t="shared" si="48"/>
        <v>-111.10176620282276</v>
      </c>
      <c r="AJ27" s="85">
        <f t="shared" si="49"/>
        <v>-197.4355125857619</v>
      </c>
      <c r="AK27" s="85">
        <f t="shared" si="50"/>
        <v>-115.09529012685128</v>
      </c>
      <c r="AL27" s="85">
        <f t="shared" si="51"/>
        <v>194.55086135113928</v>
      </c>
      <c r="AM27" s="97">
        <f t="shared" si="52"/>
        <v>225.88229852141407</v>
      </c>
      <c r="AN27" s="97">
        <f t="shared" si="53"/>
        <v>226.54885584215435</v>
      </c>
      <c r="AO27" s="105">
        <f t="shared" si="54"/>
        <v>226.0463745824168</v>
      </c>
      <c r="AP27" s="1"/>
      <c r="AQ27" s="191">
        <f t="shared" si="27"/>
        <v>445.3873130509136</v>
      </c>
      <c r="AR27" s="185">
        <f t="shared" si="28"/>
        <v>-258.7860655304843</v>
      </c>
      <c r="AS27" s="185">
        <f t="shared" si="29"/>
        <v>0</v>
      </c>
      <c r="AT27" s="185">
        <f t="shared" si="30"/>
        <v>0</v>
      </c>
      <c r="AU27" s="185">
        <f t="shared" si="31"/>
        <v>0</v>
      </c>
      <c r="AV27" s="185">
        <f t="shared" si="32"/>
        <v>0</v>
      </c>
      <c r="AW27" s="192">
        <f t="shared" si="33"/>
        <v>0.44538731305091356</v>
      </c>
      <c r="AX27" s="192">
        <f t="shared" si="34"/>
        <v>-0.2587860655304843</v>
      </c>
      <c r="AY27" s="193">
        <f t="shared" si="35"/>
        <v>0.5151117221918567</v>
      </c>
      <c r="BA27" s="199">
        <f t="shared" si="36"/>
        <v>1.8572930690539584</v>
      </c>
    </row>
    <row r="28" spans="1:53" ht="12.75">
      <c r="A28" s="49" t="s">
        <v>288</v>
      </c>
      <c r="B28" s="39" t="s">
        <v>0</v>
      </c>
      <c r="C28" s="39" t="s">
        <v>10</v>
      </c>
      <c r="D28" s="39" t="s">
        <v>78</v>
      </c>
      <c r="E28" s="137">
        <v>0.458181818181818</v>
      </c>
      <c r="F28" s="40">
        <v>0.87</v>
      </c>
      <c r="G28" s="40">
        <v>1</v>
      </c>
      <c r="H28" s="89">
        <f t="shared" si="37"/>
        <v>10</v>
      </c>
      <c r="I28" s="138">
        <v>25</v>
      </c>
      <c r="J28" s="202" t="s">
        <v>231</v>
      </c>
      <c r="K28" s="41">
        <v>4</v>
      </c>
      <c r="L28" s="40">
        <v>1</v>
      </c>
      <c r="M28" s="41" t="s">
        <v>245</v>
      </c>
      <c r="N28" s="39">
        <v>2.5</v>
      </c>
      <c r="O28" s="89">
        <f t="shared" si="1"/>
        <v>20</v>
      </c>
      <c r="P28" s="63">
        <f t="shared" si="2"/>
        <v>18.5</v>
      </c>
      <c r="Q28" s="88">
        <f t="shared" si="20"/>
        <v>87.67328070526258</v>
      </c>
      <c r="R28" s="29">
        <f t="shared" si="39"/>
        <v>5.094971171562435</v>
      </c>
      <c r="S28" s="35">
        <f t="shared" si="4"/>
        <v>2.206187233061216</v>
      </c>
      <c r="T28" s="85">
        <f t="shared" si="40"/>
        <v>0.458181818181818</v>
      </c>
      <c r="U28" s="85">
        <f t="shared" si="41"/>
        <v>0.2596636025058728</v>
      </c>
      <c r="V28" s="110">
        <f t="shared" si="42"/>
        <v>2.2804430695264206</v>
      </c>
      <c r="W28" s="203">
        <f t="shared" si="8"/>
        <v>0</v>
      </c>
      <c r="X28" s="203">
        <f t="shared" si="9"/>
        <v>0</v>
      </c>
      <c r="Y28" s="203">
        <f t="shared" si="10"/>
        <v>-1.9657312446410156</v>
      </c>
      <c r="Z28" s="203">
        <f t="shared" si="11"/>
        <v>-1.155993627661142</v>
      </c>
      <c r="AA28" s="203">
        <f t="shared" si="12"/>
        <v>0</v>
      </c>
      <c r="AB28" s="203">
        <f t="shared" si="13"/>
        <v>0</v>
      </c>
      <c r="AC28" s="85">
        <f t="shared" si="43"/>
        <v>-1.9657312446410156</v>
      </c>
      <c r="AD28" s="85">
        <f t="shared" si="44"/>
        <v>-1.155993627661142</v>
      </c>
      <c r="AE28" s="85">
        <f t="shared" si="45"/>
        <v>2.2804430695264206</v>
      </c>
      <c r="AF28" s="205">
        <f t="shared" si="38"/>
        <v>0.17857142857142858</v>
      </c>
      <c r="AG28" s="85">
        <f t="shared" si="46"/>
        <v>226.57777750279098</v>
      </c>
      <c r="AH28" s="85">
        <f t="shared" si="47"/>
        <v>2.029936255789661</v>
      </c>
      <c r="AI28" s="85">
        <f t="shared" si="48"/>
        <v>-110.39971932973668</v>
      </c>
      <c r="AJ28" s="85">
        <f t="shared" si="49"/>
        <v>-197.02265771874005</v>
      </c>
      <c r="AK28" s="85">
        <f t="shared" si="50"/>
        <v>-115.09529012685128</v>
      </c>
      <c r="AL28" s="85">
        <f t="shared" si="51"/>
        <v>194.55086135113928</v>
      </c>
      <c r="AM28" s="97">
        <f t="shared" si="52"/>
        <v>226.5868705360194</v>
      </c>
      <c r="AN28" s="97">
        <f t="shared" si="53"/>
        <v>225.8451365042879</v>
      </c>
      <c r="AO28" s="105">
        <f t="shared" si="54"/>
        <v>226.0463745824168</v>
      </c>
      <c r="AP28" s="1"/>
      <c r="AQ28" s="191">
        <f t="shared" si="27"/>
        <v>0</v>
      </c>
      <c r="AR28" s="185">
        <f t="shared" si="28"/>
        <v>0</v>
      </c>
      <c r="AS28" s="185">
        <f t="shared" si="29"/>
        <v>444.77311451378785</v>
      </c>
      <c r="AT28" s="185">
        <f t="shared" si="30"/>
        <v>-259.67222213918546</v>
      </c>
      <c r="AU28" s="185">
        <f t="shared" si="31"/>
        <v>0</v>
      </c>
      <c r="AV28" s="185">
        <f t="shared" si="32"/>
        <v>0</v>
      </c>
      <c r="AW28" s="192">
        <f t="shared" si="33"/>
        <v>0.44477311451378787</v>
      </c>
      <c r="AX28" s="192">
        <f t="shared" si="34"/>
        <v>-0.25967222213918545</v>
      </c>
      <c r="AY28" s="193">
        <f t="shared" si="35"/>
        <v>0.5150269763274518</v>
      </c>
      <c r="BA28" s="199">
        <f t="shared" si="36"/>
        <v>1.8572930690539584</v>
      </c>
    </row>
    <row r="29" spans="1:53" ht="12.75">
      <c r="A29" s="49" t="s">
        <v>289</v>
      </c>
      <c r="B29" s="39" t="s">
        <v>0</v>
      </c>
      <c r="C29" s="39" t="s">
        <v>11</v>
      </c>
      <c r="D29" s="39" t="s">
        <v>79</v>
      </c>
      <c r="E29" s="137">
        <v>0.458181818181818</v>
      </c>
      <c r="F29" s="40">
        <v>0.87</v>
      </c>
      <c r="G29" s="40">
        <v>1</v>
      </c>
      <c r="H29" s="89">
        <f t="shared" si="37"/>
        <v>10</v>
      </c>
      <c r="I29" s="138">
        <v>25</v>
      </c>
      <c r="J29" s="202" t="s">
        <v>232</v>
      </c>
      <c r="K29" s="41">
        <v>4</v>
      </c>
      <c r="L29" s="40">
        <v>1</v>
      </c>
      <c r="M29" s="41" t="s">
        <v>245</v>
      </c>
      <c r="N29" s="39">
        <v>2.5</v>
      </c>
      <c r="O29" s="89">
        <f t="shared" si="1"/>
        <v>20</v>
      </c>
      <c r="P29" s="63">
        <f t="shared" si="2"/>
        <v>18.5</v>
      </c>
      <c r="Q29" s="88">
        <f t="shared" si="20"/>
        <v>87.67328070526258</v>
      </c>
      <c r="R29" s="29">
        <f t="shared" si="39"/>
        <v>5.597624571452343</v>
      </c>
      <c r="S29" s="35">
        <f t="shared" si="4"/>
        <v>2.423842539862855</v>
      </c>
      <c r="T29" s="85">
        <f t="shared" si="40"/>
        <v>0.458181818181818</v>
      </c>
      <c r="U29" s="85">
        <f t="shared" si="41"/>
        <v>0.2596636025058728</v>
      </c>
      <c r="V29" s="110">
        <f t="shared" si="42"/>
        <v>2.2804430695264206</v>
      </c>
      <c r="W29" s="203">
        <f t="shared" si="8"/>
        <v>0</v>
      </c>
      <c r="X29" s="203">
        <f t="shared" si="9"/>
        <v>0</v>
      </c>
      <c r="Y29" s="203">
        <f t="shared" si="10"/>
        <v>0</v>
      </c>
      <c r="Z29" s="203">
        <f t="shared" si="11"/>
        <v>0</v>
      </c>
      <c r="AA29" s="203">
        <f t="shared" si="12"/>
        <v>-0.018254225846969622</v>
      </c>
      <c r="AB29" s="203">
        <f t="shared" si="13"/>
        <v>2.2803700087024934</v>
      </c>
      <c r="AC29" s="85">
        <f t="shared" si="43"/>
        <v>-0.018254225846969622</v>
      </c>
      <c r="AD29" s="85">
        <f t="shared" si="44"/>
        <v>2.2803700087024934</v>
      </c>
      <c r="AE29" s="85">
        <f t="shared" si="45"/>
        <v>2.2804430695264206</v>
      </c>
      <c r="AF29" s="205">
        <f t="shared" si="38"/>
        <v>0.17857142857142858</v>
      </c>
      <c r="AG29" s="85">
        <f t="shared" si="46"/>
        <v>226.57777750279098</v>
      </c>
      <c r="AH29" s="85">
        <f t="shared" si="47"/>
        <v>2.029936255789661</v>
      </c>
      <c r="AI29" s="85">
        <f t="shared" si="48"/>
        <v>-111.10176620282276</v>
      </c>
      <c r="AJ29" s="85">
        <f t="shared" si="49"/>
        <v>-197.4355125857619</v>
      </c>
      <c r="AK29" s="85">
        <f t="shared" si="50"/>
        <v>-115.08877076047736</v>
      </c>
      <c r="AL29" s="85">
        <f t="shared" si="51"/>
        <v>193.73644349088838</v>
      </c>
      <c r="AM29" s="97">
        <f t="shared" si="52"/>
        <v>226.5868705360194</v>
      </c>
      <c r="AN29" s="97">
        <f t="shared" si="53"/>
        <v>226.54885584215435</v>
      </c>
      <c r="AO29" s="105">
        <f t="shared" si="54"/>
        <v>225.34248310439799</v>
      </c>
      <c r="AP29" s="1"/>
      <c r="AQ29" s="191">
        <f t="shared" si="27"/>
        <v>0</v>
      </c>
      <c r="AR29" s="185">
        <f t="shared" si="28"/>
        <v>0</v>
      </c>
      <c r="AS29" s="185">
        <f t="shared" si="29"/>
        <v>0</v>
      </c>
      <c r="AT29" s="185">
        <f t="shared" si="30"/>
        <v>0</v>
      </c>
      <c r="AU29" s="185">
        <f t="shared" si="31"/>
        <v>443.8916317432191</v>
      </c>
      <c r="AV29" s="185">
        <f t="shared" si="32"/>
        <v>-258.9084723863577</v>
      </c>
      <c r="AW29" s="192">
        <f t="shared" si="33"/>
        <v>0.4438916317432191</v>
      </c>
      <c r="AX29" s="192">
        <f t="shared" si="34"/>
        <v>-0.25890847238635767</v>
      </c>
      <c r="AY29" s="193">
        <f t="shared" si="35"/>
        <v>0.5138807038652988</v>
      </c>
      <c r="BA29" s="199">
        <f t="shared" si="36"/>
        <v>1.857293069053958</v>
      </c>
    </row>
    <row r="30" spans="1:53" ht="12.75">
      <c r="A30" s="49" t="s">
        <v>290</v>
      </c>
      <c r="B30" s="39" t="s">
        <v>0</v>
      </c>
      <c r="C30" s="39" t="s">
        <v>12</v>
      </c>
      <c r="D30" s="39" t="s">
        <v>80</v>
      </c>
      <c r="E30" s="137">
        <v>0.458181818181818</v>
      </c>
      <c r="F30" s="40">
        <v>0.87</v>
      </c>
      <c r="G30" s="40">
        <v>1</v>
      </c>
      <c r="H30" s="89">
        <f t="shared" si="37"/>
        <v>10</v>
      </c>
      <c r="I30" s="138">
        <v>30</v>
      </c>
      <c r="J30" s="202" t="s">
        <v>230</v>
      </c>
      <c r="K30" s="41">
        <v>4</v>
      </c>
      <c r="L30" s="40">
        <v>1</v>
      </c>
      <c r="M30" s="41" t="s">
        <v>245</v>
      </c>
      <c r="N30" s="39">
        <v>2.5</v>
      </c>
      <c r="O30" s="89">
        <f t="shared" si="1"/>
        <v>20</v>
      </c>
      <c r="P30" s="63">
        <f t="shared" si="2"/>
        <v>18.5</v>
      </c>
      <c r="Q30" s="88">
        <f t="shared" si="20"/>
        <v>87.67328070526258</v>
      </c>
      <c r="R30" s="29">
        <f t="shared" si="39"/>
        <v>5.1986348378534615</v>
      </c>
      <c r="S30" s="35">
        <f t="shared" si="4"/>
        <v>2.2510749172899467</v>
      </c>
      <c r="T30" s="85">
        <f t="shared" si="40"/>
        <v>0.458181818181818</v>
      </c>
      <c r="U30" s="85">
        <f t="shared" si="41"/>
        <v>0.2596636025058728</v>
      </c>
      <c r="V30" s="110">
        <f t="shared" si="42"/>
        <v>2.2804430695264206</v>
      </c>
      <c r="W30" s="203">
        <f t="shared" si="8"/>
        <v>1.983985470487986</v>
      </c>
      <c r="X30" s="203">
        <f t="shared" si="9"/>
        <v>-1.1243763810413523</v>
      </c>
      <c r="Y30" s="203">
        <f t="shared" si="10"/>
        <v>0</v>
      </c>
      <c r="Z30" s="203">
        <f t="shared" si="11"/>
        <v>0</v>
      </c>
      <c r="AA30" s="203">
        <f t="shared" si="12"/>
        <v>0</v>
      </c>
      <c r="AB30" s="203">
        <f t="shared" si="13"/>
        <v>0</v>
      </c>
      <c r="AC30" s="85">
        <f t="shared" si="43"/>
        <v>1.983985470487986</v>
      </c>
      <c r="AD30" s="85">
        <f t="shared" si="44"/>
        <v>-1.1243763810413523</v>
      </c>
      <c r="AE30" s="85">
        <f t="shared" si="45"/>
        <v>2.2804430695264206</v>
      </c>
      <c r="AF30" s="205">
        <f t="shared" si="38"/>
        <v>0.21428571428571427</v>
      </c>
      <c r="AG30" s="85">
        <f t="shared" si="46"/>
        <v>225.72749801543898</v>
      </c>
      <c r="AH30" s="85">
        <f t="shared" si="47"/>
        <v>2.5118118476645264</v>
      </c>
      <c r="AI30" s="85">
        <f t="shared" si="48"/>
        <v>-111.10176620282276</v>
      </c>
      <c r="AJ30" s="85">
        <f t="shared" si="49"/>
        <v>-197.4355125857619</v>
      </c>
      <c r="AK30" s="85">
        <f t="shared" si="50"/>
        <v>-115.09529012685128</v>
      </c>
      <c r="AL30" s="85">
        <f t="shared" si="51"/>
        <v>194.55086135113928</v>
      </c>
      <c r="AM30" s="97">
        <f t="shared" si="52"/>
        <v>225.74147283799687</v>
      </c>
      <c r="AN30" s="97">
        <f t="shared" si="53"/>
        <v>226.54885584215435</v>
      </c>
      <c r="AO30" s="105">
        <f t="shared" si="54"/>
        <v>226.0463745824168</v>
      </c>
      <c r="AP30" s="1"/>
      <c r="AQ30" s="191">
        <f t="shared" si="27"/>
        <v>445.0158544371028</v>
      </c>
      <c r="AR30" s="185">
        <f t="shared" si="28"/>
        <v>-258.7860655304843</v>
      </c>
      <c r="AS30" s="185">
        <f t="shared" si="29"/>
        <v>0</v>
      </c>
      <c r="AT30" s="185">
        <f t="shared" si="30"/>
        <v>0</v>
      </c>
      <c r="AU30" s="185">
        <f t="shared" si="31"/>
        <v>0</v>
      </c>
      <c r="AV30" s="185">
        <f t="shared" si="32"/>
        <v>0</v>
      </c>
      <c r="AW30" s="192">
        <f t="shared" si="33"/>
        <v>0.4450158544371028</v>
      </c>
      <c r="AX30" s="192">
        <f t="shared" si="34"/>
        <v>-0.2587860655304843</v>
      </c>
      <c r="AY30" s="193">
        <f t="shared" si="35"/>
        <v>0.5147905772380967</v>
      </c>
      <c r="BA30" s="199">
        <f t="shared" si="36"/>
        <v>2.22875168286475</v>
      </c>
    </row>
    <row r="31" spans="1:53" ht="12">
      <c r="A31" s="49" t="s">
        <v>291</v>
      </c>
      <c r="B31" s="39" t="s">
        <v>0</v>
      </c>
      <c r="C31" s="39" t="s">
        <v>13</v>
      </c>
      <c r="D31" s="39" t="s">
        <v>81</v>
      </c>
      <c r="E31" s="137">
        <v>0.458181818181818</v>
      </c>
      <c r="F31" s="40">
        <v>0.87</v>
      </c>
      <c r="G31" s="40">
        <v>1</v>
      </c>
      <c r="H31" s="89">
        <f t="shared" si="37"/>
        <v>10</v>
      </c>
      <c r="I31" s="138">
        <v>25</v>
      </c>
      <c r="J31" s="202" t="s">
        <v>231</v>
      </c>
      <c r="K31" s="41">
        <v>4</v>
      </c>
      <c r="L31" s="40">
        <v>1</v>
      </c>
      <c r="M31" s="41" t="s">
        <v>245</v>
      </c>
      <c r="N31" s="39">
        <v>2.5</v>
      </c>
      <c r="O31" s="89">
        <f aca="true" t="shared" si="55" ref="O31:O64">IF(I31,VLOOKUP(N31,TUBOS,IF(OR(J31="RST",J31=""),3,2)),"")</f>
        <v>20</v>
      </c>
      <c r="P31" s="63">
        <f aca="true" t="shared" si="56" ref="P31:P64">IF(I31,VLOOKUP(N31,Imax_RBT,K31+1)*L31,"")</f>
        <v>18.5</v>
      </c>
      <c r="Q31" s="88">
        <f t="shared" si="20"/>
        <v>87.67328070526258</v>
      </c>
      <c r="R31" s="29">
        <f aca="true" t="shared" si="57" ref="R31:R64">IF(J31="R",$S$8-AM31+$S$9,IF(J31="S",$S$8-AN31+$S$9,IF(J31="T",$S$8-AO31+$S$9,$S$8-MIN(AM31:AO31)+$S$9)))</f>
        <v>5.094971171562435</v>
      </c>
      <c r="S31" s="35">
        <f t="shared" si="4"/>
        <v>2.206187233061216</v>
      </c>
      <c r="T31" s="85">
        <f aca="true" t="shared" si="58" ref="T31:T64">IF(ISBLANK(E31),SUMIF(INI,C31,POT_RESULT),E31*G31)</f>
        <v>0.458181818181818</v>
      </c>
      <c r="U31" s="85">
        <f aca="true" t="shared" si="59" ref="U31:U64">IF(ISBLANK(E31),"",TAN(ACOS(F31))*T31)</f>
        <v>0.2596636025058728</v>
      </c>
      <c r="V31" s="110">
        <f aca="true" t="shared" si="60" ref="V31:V64">IF(ISBLANK(J31),"",G31*IF(J31="RST",E31*1000/SQRT(3)/$S$7/F31,E31*1000/$S$8/F31))</f>
        <v>2.2804430695264206</v>
      </c>
      <c r="W31" s="203">
        <f t="shared" si="8"/>
        <v>0</v>
      </c>
      <c r="X31" s="203">
        <f t="shared" si="9"/>
        <v>0</v>
      </c>
      <c r="Y31" s="203">
        <f t="shared" si="10"/>
        <v>-1.9657312446410156</v>
      </c>
      <c r="Z31" s="203">
        <f t="shared" si="11"/>
        <v>-1.155993627661142</v>
      </c>
      <c r="AA31" s="203">
        <f t="shared" si="12"/>
        <v>0</v>
      </c>
      <c r="AB31" s="203">
        <f t="shared" si="13"/>
        <v>0</v>
      </c>
      <c r="AC31" s="85">
        <f aca="true" t="shared" si="61" ref="AC31:AC64">W31+Y31+AA31</f>
        <v>-1.9657312446410156</v>
      </c>
      <c r="AD31" s="85">
        <f aca="true" t="shared" si="62" ref="AD31:AD64">X31+Z31+AB31</f>
        <v>-1.155993627661142</v>
      </c>
      <c r="AE31" s="85">
        <f aca="true" t="shared" si="63" ref="AE31:AE64">MAX(SQRT(W31^2+X31^2),SQRT(Y31^2+Z31^2),SQRT(AA31^2+AB31^2),SQRT(AC31^2+AD31^2))</f>
        <v>2.2804430695264206</v>
      </c>
      <c r="AF31" s="205">
        <f aca="true" t="shared" si="64" ref="AF31:AF64">IF(OR(M31=0,N31=0),0,IF(M31="Cu",I31/56/N31,I31/35/N31))</f>
        <v>0.17857142857142858</v>
      </c>
      <c r="AG31" s="85">
        <f aca="true" t="shared" si="65" ref="AG31:AG64">SUMIF(FIN,$B31,ac_R_Re)-IF(W31*X31&lt;&gt;0,$AF31*(W31+AC31))</f>
        <v>226.57777750279098</v>
      </c>
      <c r="AH31" s="85">
        <f aca="true" t="shared" si="66" ref="AH31:AH64">SUMIF(FIN,$B31,ac_R_Im)-IF(W31*X31&lt;&gt;0,$AF31*(X31+AD31))</f>
        <v>2.029936255789661</v>
      </c>
      <c r="AI31" s="85">
        <f aca="true" t="shared" si="67" ref="AI31:AI64">SUMIF(FIN,B31,ac_S_Re)-IF(Y31*Z31&lt;&gt;0,$AF31*(Y31+AC31))</f>
        <v>-110.39971932973668</v>
      </c>
      <c r="AJ31" s="85">
        <f aca="true" t="shared" si="68" ref="AJ31:AJ64">SUMIF(FIN,B31,ac_S_Im)-IF(Y31*Z31&lt;&gt;0,AF31*(Z31+AD31))</f>
        <v>-197.02265771874005</v>
      </c>
      <c r="AK31" s="85">
        <f aca="true" t="shared" si="69" ref="AK31:AK64">SUMIF(FIN,B31,ac_T_Re)-IF(AA31*AB31&lt;&gt;0,AF31*(AA31+AC31))</f>
        <v>-115.09529012685128</v>
      </c>
      <c r="AL31" s="85">
        <f aca="true" t="shared" si="70" ref="AL31:AL64">SUMIF(FIN,B31,ac_T_Im)-IF(AA31*AB31&lt;&gt;0,AF31*(AB31+AD31))</f>
        <v>194.55086135113928</v>
      </c>
      <c r="AM31" s="97">
        <f aca="true" t="shared" si="71" ref="AM31:AM64">IF($K$10="Sí",SQRT(AG31^2+AH31^2),0)</f>
        <v>226.5868705360194</v>
      </c>
      <c r="AN31" s="97">
        <f aca="true" t="shared" si="72" ref="AN31:AN64">IF($L$10="Sí",SQRT(AI31^2+AJ31^2),0)</f>
        <v>225.8451365042879</v>
      </c>
      <c r="AO31" s="105">
        <f aca="true" t="shared" si="73" ref="AO31:AO64">IF($M$10="Sí",SQRT(AK31^2+AL31^2),0)</f>
        <v>226.0463745824168</v>
      </c>
      <c r="AP31" s="1"/>
      <c r="AQ31" s="191">
        <f t="shared" si="27"/>
        <v>0</v>
      </c>
      <c r="AR31" s="185">
        <f t="shared" si="28"/>
        <v>0</v>
      </c>
      <c r="AS31" s="185">
        <f t="shared" si="29"/>
        <v>444.77311451378785</v>
      </c>
      <c r="AT31" s="185">
        <f t="shared" si="30"/>
        <v>-259.67222213918546</v>
      </c>
      <c r="AU31" s="185">
        <f t="shared" si="31"/>
        <v>0</v>
      </c>
      <c r="AV31" s="185">
        <f t="shared" si="32"/>
        <v>0</v>
      </c>
      <c r="AW31" s="192">
        <f t="shared" si="33"/>
        <v>0.44477311451378787</v>
      </c>
      <c r="AX31" s="192">
        <f t="shared" si="34"/>
        <v>-0.25967222213918545</v>
      </c>
      <c r="AY31" s="193">
        <f t="shared" si="35"/>
        <v>0.5150269763274518</v>
      </c>
      <c r="BA31" s="199">
        <f t="shared" si="36"/>
        <v>1.8572930690539584</v>
      </c>
    </row>
    <row r="32" spans="1:53" ht="12">
      <c r="A32" s="49" t="s">
        <v>292</v>
      </c>
      <c r="B32" s="39" t="s">
        <v>0</v>
      </c>
      <c r="C32" s="39" t="s">
        <v>14</v>
      </c>
      <c r="D32" s="39" t="s">
        <v>82</v>
      </c>
      <c r="E32" s="137">
        <v>0.458181818181818</v>
      </c>
      <c r="F32" s="40">
        <v>0.87</v>
      </c>
      <c r="G32" s="40">
        <v>1</v>
      </c>
      <c r="H32" s="89">
        <f t="shared" si="37"/>
        <v>10</v>
      </c>
      <c r="I32" s="138">
        <v>25</v>
      </c>
      <c r="J32" s="202" t="s">
        <v>232</v>
      </c>
      <c r="K32" s="41">
        <v>4</v>
      </c>
      <c r="L32" s="40">
        <v>1</v>
      </c>
      <c r="M32" s="41" t="s">
        <v>245</v>
      </c>
      <c r="N32" s="39">
        <v>2.5</v>
      </c>
      <c r="O32" s="89">
        <f t="shared" si="55"/>
        <v>20</v>
      </c>
      <c r="P32" s="63">
        <f t="shared" si="56"/>
        <v>18.5</v>
      </c>
      <c r="Q32" s="88">
        <f t="shared" si="20"/>
        <v>87.67328070526258</v>
      </c>
      <c r="R32" s="29">
        <f t="shared" si="57"/>
        <v>5.597624571452343</v>
      </c>
      <c r="S32" s="35">
        <f t="shared" si="4"/>
        <v>2.423842539862855</v>
      </c>
      <c r="T32" s="85">
        <f t="shared" si="58"/>
        <v>0.458181818181818</v>
      </c>
      <c r="U32" s="85">
        <f t="shared" si="59"/>
        <v>0.2596636025058728</v>
      </c>
      <c r="V32" s="110">
        <f t="shared" si="60"/>
        <v>2.2804430695264206</v>
      </c>
      <c r="W32" s="203">
        <f t="shared" si="8"/>
        <v>0</v>
      </c>
      <c r="X32" s="203">
        <f t="shared" si="9"/>
        <v>0</v>
      </c>
      <c r="Y32" s="203">
        <f t="shared" si="10"/>
        <v>0</v>
      </c>
      <c r="Z32" s="203">
        <f t="shared" si="11"/>
        <v>0</v>
      </c>
      <c r="AA32" s="203">
        <f t="shared" si="12"/>
        <v>-0.018254225846969622</v>
      </c>
      <c r="AB32" s="203">
        <f t="shared" si="13"/>
        <v>2.2803700087024934</v>
      </c>
      <c r="AC32" s="85">
        <f t="shared" si="61"/>
        <v>-0.018254225846969622</v>
      </c>
      <c r="AD32" s="85">
        <f t="shared" si="62"/>
        <v>2.2803700087024934</v>
      </c>
      <c r="AE32" s="85">
        <f t="shared" si="63"/>
        <v>2.2804430695264206</v>
      </c>
      <c r="AF32" s="205">
        <f t="shared" si="64"/>
        <v>0.17857142857142858</v>
      </c>
      <c r="AG32" s="85">
        <f t="shared" si="65"/>
        <v>226.57777750279098</v>
      </c>
      <c r="AH32" s="85">
        <f t="shared" si="66"/>
        <v>2.029936255789661</v>
      </c>
      <c r="AI32" s="85">
        <f t="shared" si="67"/>
        <v>-111.10176620282276</v>
      </c>
      <c r="AJ32" s="85">
        <f t="shared" si="68"/>
        <v>-197.4355125857619</v>
      </c>
      <c r="AK32" s="85">
        <f t="shared" si="69"/>
        <v>-115.08877076047736</v>
      </c>
      <c r="AL32" s="85">
        <f t="shared" si="70"/>
        <v>193.73644349088838</v>
      </c>
      <c r="AM32" s="97">
        <f t="shared" si="71"/>
        <v>226.5868705360194</v>
      </c>
      <c r="AN32" s="97">
        <f t="shared" si="72"/>
        <v>226.54885584215435</v>
      </c>
      <c r="AO32" s="105">
        <f t="shared" si="73"/>
        <v>225.34248310439799</v>
      </c>
      <c r="AP32" s="1"/>
      <c r="AQ32" s="191">
        <f t="shared" si="27"/>
        <v>0</v>
      </c>
      <c r="AR32" s="185">
        <f t="shared" si="28"/>
        <v>0</v>
      </c>
      <c r="AS32" s="185">
        <f t="shared" si="29"/>
        <v>0</v>
      </c>
      <c r="AT32" s="185">
        <f t="shared" si="30"/>
        <v>0</v>
      </c>
      <c r="AU32" s="185">
        <f t="shared" si="31"/>
        <v>443.8916317432191</v>
      </c>
      <c r="AV32" s="185">
        <f t="shared" si="32"/>
        <v>-258.9084723863577</v>
      </c>
      <c r="AW32" s="192">
        <f t="shared" si="33"/>
        <v>0.4438916317432191</v>
      </c>
      <c r="AX32" s="192">
        <f t="shared" si="34"/>
        <v>-0.25890847238635767</v>
      </c>
      <c r="AY32" s="193">
        <f t="shared" si="35"/>
        <v>0.5138807038652988</v>
      </c>
      <c r="BA32" s="199">
        <f t="shared" si="36"/>
        <v>1.857293069053958</v>
      </c>
    </row>
    <row r="33" spans="1:53" ht="12">
      <c r="A33" s="49" t="s">
        <v>293</v>
      </c>
      <c r="B33" s="39" t="s">
        <v>0</v>
      </c>
      <c r="C33" s="39" t="s">
        <v>15</v>
      </c>
      <c r="D33" s="39" t="s">
        <v>83</v>
      </c>
      <c r="E33" s="137">
        <v>0.1764</v>
      </c>
      <c r="F33" s="40">
        <v>0.87</v>
      </c>
      <c r="G33" s="40">
        <v>1</v>
      </c>
      <c r="H33" s="89">
        <f t="shared" si="37"/>
        <v>10</v>
      </c>
      <c r="I33" s="138">
        <v>40</v>
      </c>
      <c r="J33" s="202" t="s">
        <v>230</v>
      </c>
      <c r="K33" s="41">
        <v>4</v>
      </c>
      <c r="L33" s="40">
        <v>1</v>
      </c>
      <c r="M33" s="41" t="s">
        <v>245</v>
      </c>
      <c r="N33" s="39">
        <v>2.5</v>
      </c>
      <c r="O33" s="89">
        <f t="shared" si="55"/>
        <v>20</v>
      </c>
      <c r="P33" s="63">
        <f t="shared" si="56"/>
        <v>18.5</v>
      </c>
      <c r="Q33" s="88">
        <f t="shared" si="20"/>
        <v>95.2542130715261</v>
      </c>
      <c r="R33" s="29">
        <f t="shared" si="57"/>
        <v>4.787340783710022</v>
      </c>
      <c r="S33" s="35">
        <f t="shared" si="4"/>
        <v>2.072979367633091</v>
      </c>
      <c r="T33" s="85">
        <f t="shared" si="58"/>
        <v>0.1764</v>
      </c>
      <c r="U33" s="85">
        <f t="shared" si="59"/>
        <v>0.09997048696476105</v>
      </c>
      <c r="V33" s="110">
        <f t="shared" si="60"/>
        <v>0.8779705817676722</v>
      </c>
      <c r="W33" s="203">
        <f t="shared" si="8"/>
        <v>0.7638344061378748</v>
      </c>
      <c r="X33" s="203">
        <f t="shared" si="9"/>
        <v>-0.4328849067009207</v>
      </c>
      <c r="Y33" s="203">
        <f t="shared" si="10"/>
        <v>0</v>
      </c>
      <c r="Z33" s="203">
        <f t="shared" si="11"/>
        <v>0</v>
      </c>
      <c r="AA33" s="203">
        <f t="shared" si="12"/>
        <v>0</v>
      </c>
      <c r="AB33" s="203">
        <f t="shared" si="13"/>
        <v>0</v>
      </c>
      <c r="AC33" s="85">
        <f t="shared" si="61"/>
        <v>0.7638344061378748</v>
      </c>
      <c r="AD33" s="85">
        <f t="shared" si="62"/>
        <v>-0.4328849067009207</v>
      </c>
      <c r="AE33" s="85">
        <f t="shared" si="63"/>
        <v>0.8779705817676721</v>
      </c>
      <c r="AF33" s="205">
        <f t="shared" si="64"/>
        <v>0.2857142857142857</v>
      </c>
      <c r="AG33" s="85">
        <f t="shared" si="65"/>
        <v>226.14130069928362</v>
      </c>
      <c r="AH33" s="85">
        <f t="shared" si="66"/>
        <v>2.2772990596187586</v>
      </c>
      <c r="AI33" s="85">
        <f t="shared" si="67"/>
        <v>-111.10176620282276</v>
      </c>
      <c r="AJ33" s="85">
        <f t="shared" si="68"/>
        <v>-197.4355125857619</v>
      </c>
      <c r="AK33" s="85">
        <f t="shared" si="69"/>
        <v>-115.09529012685128</v>
      </c>
      <c r="AL33" s="85">
        <f t="shared" si="70"/>
        <v>194.55086135113928</v>
      </c>
      <c r="AM33" s="97">
        <f t="shared" si="71"/>
        <v>226.1527668921403</v>
      </c>
      <c r="AN33" s="97">
        <f t="shared" si="72"/>
        <v>226.54885584215435</v>
      </c>
      <c r="AO33" s="105">
        <f t="shared" si="73"/>
        <v>226.0463745824168</v>
      </c>
      <c r="AP33" s="1"/>
      <c r="AQ33" s="191">
        <f t="shared" si="27"/>
        <v>171.7486977319307</v>
      </c>
      <c r="AR33" s="185">
        <f t="shared" si="28"/>
        <v>-99.63263522923647</v>
      </c>
      <c r="AS33" s="185">
        <f t="shared" si="29"/>
        <v>0</v>
      </c>
      <c r="AT33" s="185">
        <f t="shared" si="30"/>
        <v>0</v>
      </c>
      <c r="AU33" s="185">
        <f t="shared" si="31"/>
        <v>0</v>
      </c>
      <c r="AV33" s="185">
        <f t="shared" si="32"/>
        <v>0</v>
      </c>
      <c r="AW33" s="192">
        <f t="shared" si="33"/>
        <v>0.1717486977319307</v>
      </c>
      <c r="AX33" s="192">
        <f t="shared" si="34"/>
        <v>-0.09963263522923647</v>
      </c>
      <c r="AY33" s="193">
        <f t="shared" si="35"/>
        <v>0.19855547631666115</v>
      </c>
      <c r="BA33" s="199">
        <f t="shared" si="36"/>
        <v>0.4404756242568369</v>
      </c>
    </row>
    <row r="34" spans="1:53" ht="12">
      <c r="A34" s="49" t="s">
        <v>294</v>
      </c>
      <c r="B34" s="39" t="s">
        <v>0</v>
      </c>
      <c r="C34" s="39" t="s">
        <v>16</v>
      </c>
      <c r="D34" s="39" t="s">
        <v>84</v>
      </c>
      <c r="E34" s="137">
        <v>0.1764</v>
      </c>
      <c r="F34" s="40">
        <v>0.87</v>
      </c>
      <c r="G34" s="40">
        <v>1</v>
      </c>
      <c r="H34" s="89">
        <f aca="true" t="shared" si="74" ref="H34:H64">VLOOKUP(AE34,Protecciones,2)</f>
        <v>10</v>
      </c>
      <c r="I34" s="138">
        <v>40</v>
      </c>
      <c r="J34" s="202" t="s">
        <v>231</v>
      </c>
      <c r="K34" s="41">
        <v>4</v>
      </c>
      <c r="L34" s="40">
        <v>1</v>
      </c>
      <c r="M34" s="41" t="s">
        <v>245</v>
      </c>
      <c r="N34" s="39">
        <v>2.5</v>
      </c>
      <c r="O34" s="89">
        <f t="shared" si="55"/>
        <v>20</v>
      </c>
      <c r="P34" s="63">
        <f t="shared" si="56"/>
        <v>18.5</v>
      </c>
      <c r="Q34" s="88">
        <f t="shared" si="20"/>
        <v>95.2542130715261</v>
      </c>
      <c r="R34" s="29">
        <f t="shared" si="57"/>
        <v>4.824830871275481</v>
      </c>
      <c r="S34" s="35">
        <f t="shared" si="4"/>
        <v>2.0892130517439864</v>
      </c>
      <c r="T34" s="85">
        <f t="shared" si="58"/>
        <v>0.1764</v>
      </c>
      <c r="U34" s="85">
        <f t="shared" si="59"/>
        <v>0.09997048696476105</v>
      </c>
      <c r="V34" s="110">
        <f t="shared" si="60"/>
        <v>0.8779705817676722</v>
      </c>
      <c r="W34" s="203">
        <f t="shared" si="8"/>
        <v>0</v>
      </c>
      <c r="X34" s="203">
        <f t="shared" si="9"/>
        <v>0</v>
      </c>
      <c r="Y34" s="203">
        <f t="shared" si="10"/>
        <v>-0.7568065291867911</v>
      </c>
      <c r="Z34" s="203">
        <f t="shared" si="11"/>
        <v>-0.4450575466495398</v>
      </c>
      <c r="AA34" s="203">
        <f t="shared" si="12"/>
        <v>0</v>
      </c>
      <c r="AB34" s="203">
        <f t="shared" si="13"/>
        <v>0</v>
      </c>
      <c r="AC34" s="85">
        <f t="shared" si="61"/>
        <v>-0.7568065291867911</v>
      </c>
      <c r="AD34" s="85">
        <f t="shared" si="62"/>
        <v>-0.4450575466495398</v>
      </c>
      <c r="AE34" s="85">
        <f t="shared" si="63"/>
        <v>0.8779705817676721</v>
      </c>
      <c r="AF34" s="205">
        <f t="shared" si="64"/>
        <v>0.2857142857142857</v>
      </c>
      <c r="AG34" s="85">
        <f t="shared" si="65"/>
        <v>226.57777750279098</v>
      </c>
      <c r="AH34" s="85">
        <f t="shared" si="66"/>
        <v>2.029936255789661</v>
      </c>
      <c r="AI34" s="85">
        <f t="shared" si="67"/>
        <v>-110.66930532900173</v>
      </c>
      <c r="AJ34" s="85">
        <f t="shared" si="68"/>
        <v>-197.18119398767644</v>
      </c>
      <c r="AK34" s="85">
        <f t="shared" si="69"/>
        <v>-115.09529012685128</v>
      </c>
      <c r="AL34" s="85">
        <f t="shared" si="70"/>
        <v>194.55086135113928</v>
      </c>
      <c r="AM34" s="97">
        <f t="shared" si="71"/>
        <v>226.5868705360194</v>
      </c>
      <c r="AN34" s="97">
        <f t="shared" si="72"/>
        <v>226.11527680457485</v>
      </c>
      <c r="AO34" s="105">
        <f t="shared" si="73"/>
        <v>226.0463745824168</v>
      </c>
      <c r="AP34" s="1"/>
      <c r="AQ34" s="191">
        <f t="shared" si="27"/>
        <v>0</v>
      </c>
      <c r="AR34" s="185">
        <f t="shared" si="28"/>
        <v>0</v>
      </c>
      <c r="AS34" s="185">
        <f t="shared" si="29"/>
        <v>171.51223129513733</v>
      </c>
      <c r="AT34" s="185">
        <f t="shared" si="30"/>
        <v>-99.97380552358644</v>
      </c>
      <c r="AU34" s="185">
        <f t="shared" si="31"/>
        <v>0</v>
      </c>
      <c r="AV34" s="185">
        <f t="shared" si="32"/>
        <v>0</v>
      </c>
      <c r="AW34" s="192">
        <f t="shared" si="33"/>
        <v>0.17151223129513732</v>
      </c>
      <c r="AX34" s="192">
        <f t="shared" si="34"/>
        <v>-0.09997380552358644</v>
      </c>
      <c r="AY34" s="193">
        <f t="shared" si="35"/>
        <v>0.1985225611226708</v>
      </c>
      <c r="BA34" s="199">
        <f t="shared" si="36"/>
        <v>0.4404756242568369</v>
      </c>
    </row>
    <row r="35" spans="1:53" ht="12">
      <c r="A35" s="49" t="s">
        <v>295</v>
      </c>
      <c r="B35" s="39" t="s">
        <v>0</v>
      </c>
      <c r="C35" s="39" t="s">
        <v>17</v>
      </c>
      <c r="D35" s="39" t="s">
        <v>85</v>
      </c>
      <c r="E35" s="137">
        <v>0.1764</v>
      </c>
      <c r="F35" s="40">
        <v>0.87</v>
      </c>
      <c r="G35" s="40">
        <v>1</v>
      </c>
      <c r="H35" s="89">
        <f>VLOOKUP(AE35,Protecciones,2)</f>
        <v>10</v>
      </c>
      <c r="I35" s="138">
        <v>40</v>
      </c>
      <c r="J35" s="202" t="s">
        <v>232</v>
      </c>
      <c r="K35" s="41">
        <v>4</v>
      </c>
      <c r="L35" s="40">
        <v>1</v>
      </c>
      <c r="M35" s="41" t="s">
        <v>245</v>
      </c>
      <c r="N35" s="39">
        <v>2.5</v>
      </c>
      <c r="O35" s="89">
        <f t="shared" si="55"/>
        <v>20</v>
      </c>
      <c r="P35" s="63">
        <f t="shared" si="56"/>
        <v>18.5</v>
      </c>
      <c r="Q35" s="88">
        <f t="shared" si="20"/>
        <v>95.2542130715261</v>
      </c>
      <c r="R35" s="29">
        <f t="shared" si="57"/>
        <v>5.327418238191228</v>
      </c>
      <c r="S35" s="35">
        <f t="shared" si="4"/>
        <v>2.3068397654290704</v>
      </c>
      <c r="T35" s="85">
        <f t="shared" si="58"/>
        <v>0.1764</v>
      </c>
      <c r="U35" s="85">
        <f t="shared" si="59"/>
        <v>0.09997048696476105</v>
      </c>
      <c r="V35" s="110">
        <f t="shared" si="60"/>
        <v>0.8779705817676722</v>
      </c>
      <c r="W35" s="203">
        <f t="shared" si="8"/>
        <v>0</v>
      </c>
      <c r="X35" s="203">
        <f t="shared" si="9"/>
        <v>0</v>
      </c>
      <c r="Y35" s="203">
        <f t="shared" si="10"/>
        <v>0</v>
      </c>
      <c r="Z35" s="203">
        <f t="shared" si="11"/>
        <v>0</v>
      </c>
      <c r="AA35" s="203">
        <f t="shared" si="12"/>
        <v>-0.007027876951083306</v>
      </c>
      <c r="AB35" s="203">
        <f t="shared" si="13"/>
        <v>0.8779424533504603</v>
      </c>
      <c r="AC35" s="85">
        <f t="shared" si="61"/>
        <v>-0.007027876951083306</v>
      </c>
      <c r="AD35" s="85">
        <f t="shared" si="62"/>
        <v>0.8779424533504603</v>
      </c>
      <c r="AE35" s="85">
        <f t="shared" si="63"/>
        <v>0.8779705817676722</v>
      </c>
      <c r="AF35" s="205">
        <f t="shared" si="64"/>
        <v>0.2857142857142857</v>
      </c>
      <c r="AG35" s="85">
        <f t="shared" si="65"/>
        <v>226.57777750279098</v>
      </c>
      <c r="AH35" s="85">
        <f t="shared" si="66"/>
        <v>2.029936255789661</v>
      </c>
      <c r="AI35" s="85">
        <f t="shared" si="67"/>
        <v>-111.10176620282276</v>
      </c>
      <c r="AJ35" s="85">
        <f t="shared" si="68"/>
        <v>-197.4355125857619</v>
      </c>
      <c r="AK35" s="85">
        <f t="shared" si="69"/>
        <v>-115.09127419716495</v>
      </c>
      <c r="AL35" s="85">
        <f t="shared" si="70"/>
        <v>194.04917994922474</v>
      </c>
      <c r="AM35" s="97">
        <f t="shared" si="71"/>
        <v>226.5868705360194</v>
      </c>
      <c r="AN35" s="97">
        <f t="shared" si="72"/>
        <v>226.54885584215435</v>
      </c>
      <c r="AO35" s="105">
        <f t="shared" si="73"/>
        <v>225.6126894376591</v>
      </c>
      <c r="AP35" s="1"/>
      <c r="AQ35" s="191">
        <f t="shared" si="27"/>
        <v>0</v>
      </c>
      <c r="AR35" s="185">
        <f t="shared" si="28"/>
        <v>0</v>
      </c>
      <c r="AS35" s="185">
        <f t="shared" si="29"/>
        <v>0</v>
      </c>
      <c r="AT35" s="185">
        <f t="shared" si="30"/>
        <v>0</v>
      </c>
      <c r="AU35" s="185">
        <f t="shared" si="31"/>
        <v>171.17286042846837</v>
      </c>
      <c r="AV35" s="185">
        <f t="shared" si="32"/>
        <v>-99.67976186874775</v>
      </c>
      <c r="AW35" s="192">
        <f t="shared" si="33"/>
        <v>0.17117286042846838</v>
      </c>
      <c r="AX35" s="192">
        <f t="shared" si="34"/>
        <v>-0.09967976186874775</v>
      </c>
      <c r="AY35" s="193">
        <f t="shared" si="35"/>
        <v>0.1980813041997507</v>
      </c>
      <c r="BA35" s="199">
        <f t="shared" si="36"/>
        <v>0.44047562425683695</v>
      </c>
    </row>
    <row r="36" spans="1:53" ht="12">
      <c r="A36" s="49" t="s">
        <v>296</v>
      </c>
      <c r="B36" s="39" t="s">
        <v>0</v>
      </c>
      <c r="C36" s="39" t="s">
        <v>18</v>
      </c>
      <c r="D36" s="95" t="s">
        <v>86</v>
      </c>
      <c r="E36" s="137">
        <v>0.1764</v>
      </c>
      <c r="F36" s="40">
        <v>0.87</v>
      </c>
      <c r="G36" s="40">
        <v>1</v>
      </c>
      <c r="H36" s="89">
        <f t="shared" si="74"/>
        <v>10</v>
      </c>
      <c r="I36" s="138">
        <v>40</v>
      </c>
      <c r="J36" s="202" t="s">
        <v>230</v>
      </c>
      <c r="K36" s="41">
        <v>4</v>
      </c>
      <c r="L36" s="40">
        <v>1</v>
      </c>
      <c r="M36" s="41" t="s">
        <v>245</v>
      </c>
      <c r="N36" s="39">
        <v>2.5</v>
      </c>
      <c r="O36" s="89">
        <f t="shared" si="55"/>
        <v>20</v>
      </c>
      <c r="P36" s="63">
        <f t="shared" si="56"/>
        <v>18.5</v>
      </c>
      <c r="Q36" s="88">
        <f t="shared" si="20"/>
        <v>95.2542130715261</v>
      </c>
      <c r="R36" s="29">
        <f t="shared" si="57"/>
        <v>4.787340783710022</v>
      </c>
      <c r="S36" s="35">
        <f t="shared" si="4"/>
        <v>2.072979367633091</v>
      </c>
      <c r="T36" s="85">
        <f t="shared" si="58"/>
        <v>0.1764</v>
      </c>
      <c r="U36" s="85">
        <f t="shared" si="59"/>
        <v>0.09997048696476105</v>
      </c>
      <c r="V36" s="110">
        <f t="shared" si="60"/>
        <v>0.8779705817676722</v>
      </c>
      <c r="W36" s="203">
        <f t="shared" si="8"/>
        <v>0.7638344061378748</v>
      </c>
      <c r="X36" s="203">
        <f t="shared" si="9"/>
        <v>-0.4328849067009207</v>
      </c>
      <c r="Y36" s="203">
        <f t="shared" si="10"/>
        <v>0</v>
      </c>
      <c r="Z36" s="203">
        <f t="shared" si="11"/>
        <v>0</v>
      </c>
      <c r="AA36" s="203">
        <f t="shared" si="12"/>
        <v>0</v>
      </c>
      <c r="AB36" s="203">
        <f t="shared" si="13"/>
        <v>0</v>
      </c>
      <c r="AC36" s="85">
        <f t="shared" si="61"/>
        <v>0.7638344061378748</v>
      </c>
      <c r="AD36" s="85">
        <f t="shared" si="62"/>
        <v>-0.4328849067009207</v>
      </c>
      <c r="AE36" s="85">
        <f t="shared" si="63"/>
        <v>0.8779705817676721</v>
      </c>
      <c r="AF36" s="205">
        <f t="shared" si="64"/>
        <v>0.2857142857142857</v>
      </c>
      <c r="AG36" s="85">
        <f t="shared" si="65"/>
        <v>226.14130069928362</v>
      </c>
      <c r="AH36" s="85">
        <f t="shared" si="66"/>
        <v>2.2772990596187586</v>
      </c>
      <c r="AI36" s="85">
        <f t="shared" si="67"/>
        <v>-111.10176620282276</v>
      </c>
      <c r="AJ36" s="85">
        <f t="shared" si="68"/>
        <v>-197.4355125857619</v>
      </c>
      <c r="AK36" s="85">
        <f t="shared" si="69"/>
        <v>-115.09529012685128</v>
      </c>
      <c r="AL36" s="85">
        <f t="shared" si="70"/>
        <v>194.55086135113928</v>
      </c>
      <c r="AM36" s="97">
        <f t="shared" si="71"/>
        <v>226.1527668921403</v>
      </c>
      <c r="AN36" s="97">
        <f t="shared" si="72"/>
        <v>226.54885584215435</v>
      </c>
      <c r="AO36" s="105">
        <f t="shared" si="73"/>
        <v>226.0463745824168</v>
      </c>
      <c r="AP36" s="1"/>
      <c r="AQ36" s="191">
        <f t="shared" si="27"/>
        <v>171.7486977319307</v>
      </c>
      <c r="AR36" s="185">
        <f t="shared" si="28"/>
        <v>-99.63263522923647</v>
      </c>
      <c r="AS36" s="185">
        <f t="shared" si="29"/>
        <v>0</v>
      </c>
      <c r="AT36" s="185">
        <f t="shared" si="30"/>
        <v>0</v>
      </c>
      <c r="AU36" s="185">
        <f t="shared" si="31"/>
        <v>0</v>
      </c>
      <c r="AV36" s="185">
        <f t="shared" si="32"/>
        <v>0</v>
      </c>
      <c r="AW36" s="192">
        <f t="shared" si="33"/>
        <v>0.1717486977319307</v>
      </c>
      <c r="AX36" s="192">
        <f t="shared" si="34"/>
        <v>-0.09963263522923647</v>
      </c>
      <c r="AY36" s="193">
        <f t="shared" si="35"/>
        <v>0.19855547631666115</v>
      </c>
      <c r="BA36" s="199">
        <f t="shared" si="36"/>
        <v>0.4404756242568369</v>
      </c>
    </row>
    <row r="37" spans="1:53" ht="12">
      <c r="A37" s="49" t="s">
        <v>297</v>
      </c>
      <c r="B37" s="39" t="s">
        <v>0</v>
      </c>
      <c r="C37" s="39" t="s">
        <v>19</v>
      </c>
      <c r="D37" s="95" t="s">
        <v>87</v>
      </c>
      <c r="E37" s="137">
        <v>0.1764</v>
      </c>
      <c r="F37" s="40">
        <v>0.87</v>
      </c>
      <c r="G37" s="40">
        <v>1</v>
      </c>
      <c r="H37" s="89">
        <f t="shared" si="74"/>
        <v>10</v>
      </c>
      <c r="I37" s="138">
        <v>50</v>
      </c>
      <c r="J37" s="202" t="s">
        <v>231</v>
      </c>
      <c r="K37" s="41">
        <v>4</v>
      </c>
      <c r="L37" s="40">
        <v>1</v>
      </c>
      <c r="M37" s="41" t="s">
        <v>245</v>
      </c>
      <c r="N37" s="39">
        <v>2.5</v>
      </c>
      <c r="O37" s="89">
        <f t="shared" si="55"/>
        <v>20</v>
      </c>
      <c r="P37" s="63">
        <f t="shared" si="56"/>
        <v>18.5</v>
      </c>
      <c r="Q37" s="88">
        <f t="shared" si="20"/>
        <v>95.2542130715261</v>
      </c>
      <c r="R37" s="29">
        <f t="shared" si="57"/>
        <v>4.933181585020009</v>
      </c>
      <c r="S37" s="35">
        <f t="shared" si="4"/>
        <v>2.136130287054455</v>
      </c>
      <c r="T37" s="85">
        <f t="shared" si="58"/>
        <v>0.1764</v>
      </c>
      <c r="U37" s="85">
        <f t="shared" si="59"/>
        <v>0.09997048696476105</v>
      </c>
      <c r="V37" s="110">
        <f t="shared" si="60"/>
        <v>0.8779705817676722</v>
      </c>
      <c r="W37" s="203">
        <f t="shared" si="8"/>
        <v>0</v>
      </c>
      <c r="X37" s="203">
        <f t="shared" si="9"/>
        <v>0</v>
      </c>
      <c r="Y37" s="203">
        <f t="shared" si="10"/>
        <v>-0.7568065291867911</v>
      </c>
      <c r="Z37" s="203">
        <f t="shared" si="11"/>
        <v>-0.4450575466495398</v>
      </c>
      <c r="AA37" s="203">
        <f t="shared" si="12"/>
        <v>0</v>
      </c>
      <c r="AB37" s="203">
        <f t="shared" si="13"/>
        <v>0</v>
      </c>
      <c r="AC37" s="85">
        <f t="shared" si="61"/>
        <v>-0.7568065291867911</v>
      </c>
      <c r="AD37" s="85">
        <f t="shared" si="62"/>
        <v>-0.4450575466495398</v>
      </c>
      <c r="AE37" s="85">
        <f t="shared" si="63"/>
        <v>0.8779705817676721</v>
      </c>
      <c r="AF37" s="205">
        <f t="shared" si="64"/>
        <v>0.35714285714285715</v>
      </c>
      <c r="AG37" s="85">
        <f t="shared" si="65"/>
        <v>226.57777750279098</v>
      </c>
      <c r="AH37" s="85">
        <f t="shared" si="66"/>
        <v>2.029936255789661</v>
      </c>
      <c r="AI37" s="85">
        <f t="shared" si="67"/>
        <v>-110.56119011054648</v>
      </c>
      <c r="AJ37" s="85">
        <f t="shared" si="68"/>
        <v>-197.11761433815508</v>
      </c>
      <c r="AK37" s="85">
        <f t="shared" si="69"/>
        <v>-115.09529012685128</v>
      </c>
      <c r="AL37" s="85">
        <f t="shared" si="70"/>
        <v>194.55086135113928</v>
      </c>
      <c r="AM37" s="97">
        <f t="shared" si="71"/>
        <v>226.5868705360194</v>
      </c>
      <c r="AN37" s="97">
        <f t="shared" si="72"/>
        <v>226.00692609083032</v>
      </c>
      <c r="AO37" s="105">
        <f t="shared" si="73"/>
        <v>226.0463745824168</v>
      </c>
      <c r="AP37" s="1"/>
      <c r="AQ37" s="191">
        <f t="shared" si="27"/>
        <v>0</v>
      </c>
      <c r="AR37" s="185">
        <f t="shared" si="28"/>
        <v>0</v>
      </c>
      <c r="AS37" s="185">
        <f t="shared" si="29"/>
        <v>171.40211238907312</v>
      </c>
      <c r="AT37" s="185">
        <f t="shared" si="30"/>
        <v>-99.9738055235864</v>
      </c>
      <c r="AU37" s="185">
        <f t="shared" si="31"/>
        <v>0</v>
      </c>
      <c r="AV37" s="185">
        <f t="shared" si="32"/>
        <v>0</v>
      </c>
      <c r="AW37" s="192">
        <f t="shared" si="33"/>
        <v>0.17140211238907313</v>
      </c>
      <c r="AX37" s="192">
        <f t="shared" si="34"/>
        <v>-0.09997380552358641</v>
      </c>
      <c r="AY37" s="193">
        <f t="shared" si="35"/>
        <v>0.1984274323834896</v>
      </c>
      <c r="BA37" s="199">
        <f t="shared" si="36"/>
        <v>0.5505945303210462</v>
      </c>
    </row>
    <row r="38" spans="1:53" ht="12">
      <c r="A38" s="49" t="s">
        <v>298</v>
      </c>
      <c r="B38" s="39" t="s">
        <v>0</v>
      </c>
      <c r="C38" s="39" t="s">
        <v>20</v>
      </c>
      <c r="D38" s="95" t="s">
        <v>88</v>
      </c>
      <c r="E38" s="137">
        <v>0.1764</v>
      </c>
      <c r="F38" s="40">
        <v>0.87</v>
      </c>
      <c r="G38" s="40">
        <v>1</v>
      </c>
      <c r="H38" s="89">
        <f t="shared" si="74"/>
        <v>10</v>
      </c>
      <c r="I38" s="138">
        <v>50</v>
      </c>
      <c r="J38" s="202" t="s">
        <v>232</v>
      </c>
      <c r="K38" s="41">
        <v>4</v>
      </c>
      <c r="L38" s="40">
        <v>1</v>
      </c>
      <c r="M38" s="41" t="s">
        <v>245</v>
      </c>
      <c r="N38" s="39">
        <v>2.5</v>
      </c>
      <c r="O38" s="89">
        <f t="shared" si="55"/>
        <v>20</v>
      </c>
      <c r="P38" s="63">
        <f t="shared" si="56"/>
        <v>18.5</v>
      </c>
      <c r="Q38" s="88">
        <f t="shared" si="20"/>
        <v>95.2542130715261</v>
      </c>
      <c r="R38" s="29">
        <f t="shared" si="57"/>
        <v>5.435795444321343</v>
      </c>
      <c r="S38" s="35">
        <f t="shared" si="4"/>
        <v>2.3537684722790013</v>
      </c>
      <c r="T38" s="85">
        <f t="shared" si="58"/>
        <v>0.1764</v>
      </c>
      <c r="U38" s="85">
        <f t="shared" si="59"/>
        <v>0.09997048696476105</v>
      </c>
      <c r="V38" s="110">
        <f t="shared" si="60"/>
        <v>0.8779705817676722</v>
      </c>
      <c r="W38" s="203">
        <f t="shared" si="8"/>
        <v>0</v>
      </c>
      <c r="X38" s="203">
        <f t="shared" si="9"/>
        <v>0</v>
      </c>
      <c r="Y38" s="203">
        <f t="shared" si="10"/>
        <v>0</v>
      </c>
      <c r="Z38" s="203">
        <f t="shared" si="11"/>
        <v>0</v>
      </c>
      <c r="AA38" s="203">
        <f t="shared" si="12"/>
        <v>-0.007027876951083306</v>
      </c>
      <c r="AB38" s="203">
        <f t="shared" si="13"/>
        <v>0.8779424533504603</v>
      </c>
      <c r="AC38" s="85">
        <f t="shared" si="61"/>
        <v>-0.007027876951083306</v>
      </c>
      <c r="AD38" s="85">
        <f t="shared" si="62"/>
        <v>0.8779424533504603</v>
      </c>
      <c r="AE38" s="85">
        <f t="shared" si="63"/>
        <v>0.8779705817676722</v>
      </c>
      <c r="AF38" s="205">
        <f t="shared" si="64"/>
        <v>0.35714285714285715</v>
      </c>
      <c r="AG38" s="85">
        <f t="shared" si="65"/>
        <v>226.57777750279098</v>
      </c>
      <c r="AH38" s="85">
        <f t="shared" si="66"/>
        <v>2.029936255789661</v>
      </c>
      <c r="AI38" s="85">
        <f t="shared" si="67"/>
        <v>-111.10176620282276</v>
      </c>
      <c r="AJ38" s="85">
        <f t="shared" si="68"/>
        <v>-197.4355125857619</v>
      </c>
      <c r="AK38" s="85">
        <f t="shared" si="69"/>
        <v>-115.09027021474337</v>
      </c>
      <c r="AL38" s="85">
        <f t="shared" si="70"/>
        <v>193.9237595987461</v>
      </c>
      <c r="AM38" s="97">
        <f t="shared" si="71"/>
        <v>226.5868705360194</v>
      </c>
      <c r="AN38" s="97">
        <f t="shared" si="72"/>
        <v>226.54885584215435</v>
      </c>
      <c r="AO38" s="105">
        <f t="shared" si="73"/>
        <v>225.50431223152898</v>
      </c>
      <c r="AP38" s="1"/>
      <c r="AQ38" s="191">
        <f t="shared" si="27"/>
        <v>0</v>
      </c>
      <c r="AR38" s="185">
        <f t="shared" si="28"/>
        <v>0</v>
      </c>
      <c r="AS38" s="185">
        <f t="shared" si="29"/>
        <v>0</v>
      </c>
      <c r="AT38" s="185">
        <f t="shared" si="30"/>
        <v>0</v>
      </c>
      <c r="AU38" s="185">
        <f t="shared" si="31"/>
        <v>171.0627415224042</v>
      </c>
      <c r="AV38" s="185">
        <f t="shared" si="32"/>
        <v>-99.67976186874776</v>
      </c>
      <c r="AW38" s="192">
        <f t="shared" si="33"/>
        <v>0.1710627415224042</v>
      </c>
      <c r="AX38" s="192">
        <f t="shared" si="34"/>
        <v>-0.09967976186874776</v>
      </c>
      <c r="AY38" s="193">
        <f t="shared" si="35"/>
        <v>0.19798615220103433</v>
      </c>
      <c r="BA38" s="199">
        <f t="shared" si="36"/>
        <v>0.5505945303210462</v>
      </c>
    </row>
    <row r="39" spans="1:53" ht="12">
      <c r="A39" s="49" t="s">
        <v>300</v>
      </c>
      <c r="B39" s="39" t="s">
        <v>0</v>
      </c>
      <c r="C39" s="39" t="s">
        <v>21</v>
      </c>
      <c r="D39" s="95" t="s">
        <v>89</v>
      </c>
      <c r="E39" s="137">
        <v>0.1764</v>
      </c>
      <c r="F39" s="40">
        <v>0.87</v>
      </c>
      <c r="G39" s="40">
        <v>1</v>
      </c>
      <c r="H39" s="89">
        <f aca="true" t="shared" si="75" ref="H39:H47">VLOOKUP(AE39,Protecciones,2)</f>
        <v>10</v>
      </c>
      <c r="I39" s="138">
        <v>55</v>
      </c>
      <c r="J39" s="202" t="s">
        <v>230</v>
      </c>
      <c r="K39" s="41">
        <v>4</v>
      </c>
      <c r="L39" s="40">
        <v>1</v>
      </c>
      <c r="M39" s="41" t="s">
        <v>245</v>
      </c>
      <c r="N39" s="39">
        <v>2.5</v>
      </c>
      <c r="O39" s="89">
        <f aca="true" t="shared" si="76" ref="O39:O47">IF(I39,VLOOKUP(N39,TUBOS,IF(OR(J39="RST",J39=""),3,2)),"")</f>
        <v>20</v>
      </c>
      <c r="P39" s="63">
        <f aca="true" t="shared" si="77" ref="P39:P47">IF(I39,VLOOKUP(N39,Imax_RBT,K39+1)*L39,"")</f>
        <v>18.5</v>
      </c>
      <c r="Q39" s="88">
        <f t="shared" si="20"/>
        <v>95.2542130715261</v>
      </c>
      <c r="R39" s="29">
        <f aca="true" t="shared" si="78" ref="R39:R47">IF(J39="R",$S$8-AM39+$S$9,IF(J39="S",$S$8-AN39+$S$9,IF(J39="T",$S$8-AO39+$S$9,$S$8-MIN(AM39:AO39)+$S$9)))</f>
        <v>4.950057488699031</v>
      </c>
      <c r="S39" s="35">
        <f t="shared" si="4"/>
        <v>2.143437767703381</v>
      </c>
      <c r="T39" s="85">
        <f aca="true" t="shared" si="79" ref="T39:T47">IF(ISBLANK(E39),SUMIF(INI,C39,POT_RESULT),E39*G39)</f>
        <v>0.1764</v>
      </c>
      <c r="U39" s="85">
        <f aca="true" t="shared" si="80" ref="U39:U47">IF(ISBLANK(E39),"",TAN(ACOS(F39))*T39)</f>
        <v>0.09997048696476105</v>
      </c>
      <c r="V39" s="110">
        <f aca="true" t="shared" si="81" ref="V39:V47">IF(ISBLANK(J39),"",G39*IF(J39="RST",E39*1000/SQRT(3)/$S$7/F39,E39*1000/$S$8/F39))</f>
        <v>0.8779705817676722</v>
      </c>
      <c r="W39" s="203">
        <f t="shared" si="8"/>
        <v>0.7638344061378748</v>
      </c>
      <c r="X39" s="203">
        <f t="shared" si="9"/>
        <v>-0.4328849067009207</v>
      </c>
      <c r="Y39" s="203">
        <f t="shared" si="10"/>
        <v>0</v>
      </c>
      <c r="Z39" s="203">
        <f t="shared" si="11"/>
        <v>0</v>
      </c>
      <c r="AA39" s="203">
        <f t="shared" si="12"/>
        <v>0</v>
      </c>
      <c r="AB39" s="203">
        <f t="shared" si="13"/>
        <v>0</v>
      </c>
      <c r="AC39" s="85">
        <f aca="true" t="shared" si="82" ref="AC39:AC47">W39+Y39+AA39</f>
        <v>0.7638344061378748</v>
      </c>
      <c r="AD39" s="85">
        <f aca="true" t="shared" si="83" ref="AD39:AD47">X39+Z39+AB39</f>
        <v>-0.4328849067009207</v>
      </c>
      <c r="AE39" s="85">
        <f aca="true" t="shared" si="84" ref="AE39:AE47">MAX(SQRT(W39^2+X39^2),SQRT(Y39^2+Z39^2),SQRT(AA39^2+AB39^2),SQRT(AC39^2+AD39^2))</f>
        <v>0.8779705817676721</v>
      </c>
      <c r="AF39" s="205">
        <f aca="true" t="shared" si="85" ref="AF39:AF47">IF(OR(M39=0,N39=0),0,IF(M39="Cu",I39/56/N39,I39/35/N39))</f>
        <v>0.39285714285714285</v>
      </c>
      <c r="AG39" s="85">
        <f aca="true" t="shared" si="86" ref="AG39:AG47">SUMIF(FIN,$B39,ac_R_Re)-IF(W39*X39&lt;&gt;0,$AF39*(W39+AC39))</f>
        <v>225.97762189796836</v>
      </c>
      <c r="AH39" s="85">
        <f aca="true" t="shared" si="87" ref="AH39:AH47">SUMIF(FIN,$B39,ac_R_Im)-IF(W39*X39&lt;&gt;0,$AF39*(X39+AD39))</f>
        <v>2.3700601110546704</v>
      </c>
      <c r="AI39" s="85">
        <f aca="true" t="shared" si="88" ref="AI39:AI47">SUMIF(FIN,B39,ac_S_Re)-IF(Y39*Z39&lt;&gt;0,$AF39*(Y39+AC39))</f>
        <v>-111.10176620282276</v>
      </c>
      <c r="AJ39" s="85">
        <f aca="true" t="shared" si="89" ref="AJ39:AJ47">SUMIF(FIN,B39,ac_S_Im)-IF(Y39*Z39&lt;&gt;0,AF39*(Z39+AD39))</f>
        <v>-197.4355125857619</v>
      </c>
      <c r="AK39" s="85">
        <f aca="true" t="shared" si="90" ref="AK39:AK47">SUMIF(FIN,B39,ac_T_Re)-IF(AA39*AB39&lt;&gt;0,AF39*(AA39+AC39))</f>
        <v>-115.09529012685128</v>
      </c>
      <c r="AL39" s="85">
        <f aca="true" t="shared" si="91" ref="AL39:AL47">SUMIF(FIN,B39,ac_T_Im)-IF(AA39*AB39&lt;&gt;0,AF39*(AB39+AD39))</f>
        <v>194.55086135113928</v>
      </c>
      <c r="AM39" s="97">
        <f aca="true" t="shared" si="92" ref="AM39:AM47">IF($K$10="Sí",SQRT(AG39^2+AH39^2),0)</f>
        <v>225.9900501871513</v>
      </c>
      <c r="AN39" s="97">
        <f aca="true" t="shared" si="93" ref="AN39:AN47">IF($L$10="Sí",SQRT(AI39^2+AJ39^2),0)</f>
        <v>226.54885584215435</v>
      </c>
      <c r="AO39" s="105">
        <f aca="true" t="shared" si="94" ref="AO39:AO47">IF($M$10="Sí",SQRT(AK39^2+AL39^2),0)</f>
        <v>226.0463745824168</v>
      </c>
      <c r="AP39" s="1"/>
      <c r="AQ39" s="191">
        <f t="shared" si="27"/>
        <v>171.5835193728344</v>
      </c>
      <c r="AR39" s="185">
        <f t="shared" si="28"/>
        <v>-99.63263522923647</v>
      </c>
      <c r="AS39" s="185">
        <f t="shared" si="29"/>
        <v>0</v>
      </c>
      <c r="AT39" s="185">
        <f t="shared" si="30"/>
        <v>0</v>
      </c>
      <c r="AU39" s="185">
        <f t="shared" si="31"/>
        <v>0</v>
      </c>
      <c r="AV39" s="185">
        <f t="shared" si="32"/>
        <v>0</v>
      </c>
      <c r="AW39" s="192">
        <f t="shared" si="33"/>
        <v>0.1715835193728344</v>
      </c>
      <c r="AX39" s="192">
        <f t="shared" si="34"/>
        <v>-0.09963263522923647</v>
      </c>
      <c r="AY39" s="193">
        <f t="shared" si="35"/>
        <v>0.19841261583651865</v>
      </c>
      <c r="BA39" s="199">
        <f t="shared" si="36"/>
        <v>0.6056539833531508</v>
      </c>
    </row>
    <row r="40" spans="1:53" ht="12">
      <c r="A40" s="49" t="s">
        <v>301</v>
      </c>
      <c r="B40" s="39" t="s">
        <v>0</v>
      </c>
      <c r="C40" s="39" t="s">
        <v>22</v>
      </c>
      <c r="D40" s="95" t="s">
        <v>90</v>
      </c>
      <c r="E40" s="137">
        <v>0.1764</v>
      </c>
      <c r="F40" s="40">
        <v>0.87</v>
      </c>
      <c r="G40" s="40">
        <v>1</v>
      </c>
      <c r="H40" s="89">
        <f t="shared" si="75"/>
        <v>10</v>
      </c>
      <c r="I40" s="138">
        <v>50</v>
      </c>
      <c r="J40" s="202" t="s">
        <v>231</v>
      </c>
      <c r="K40" s="41">
        <v>4</v>
      </c>
      <c r="L40" s="40">
        <v>1</v>
      </c>
      <c r="M40" s="41" t="s">
        <v>245</v>
      </c>
      <c r="N40" s="39">
        <v>2.5</v>
      </c>
      <c r="O40" s="89">
        <f t="shared" si="76"/>
        <v>20</v>
      </c>
      <c r="P40" s="63">
        <f t="shared" si="77"/>
        <v>18.5</v>
      </c>
      <c r="Q40" s="88">
        <f>IF(I40,IF(AE40&lt;=P40,100-AE40/P40*100,ROUND(100-AE40/P40*100,0)&amp;"Err"),"")</f>
        <v>95.2542130715261</v>
      </c>
      <c r="R40" s="29">
        <f t="shared" si="78"/>
        <v>4.933181585020009</v>
      </c>
      <c r="S40" s="35">
        <f t="shared" si="4"/>
        <v>2.136130287054455</v>
      </c>
      <c r="T40" s="85">
        <f t="shared" si="79"/>
        <v>0.1764</v>
      </c>
      <c r="U40" s="85">
        <f t="shared" si="80"/>
        <v>0.09997048696476105</v>
      </c>
      <c r="V40" s="110">
        <f t="shared" si="81"/>
        <v>0.8779705817676722</v>
      </c>
      <c r="W40" s="203">
        <f t="shared" si="8"/>
        <v>0</v>
      </c>
      <c r="X40" s="203">
        <f t="shared" si="9"/>
        <v>0</v>
      </c>
      <c r="Y40" s="203">
        <f t="shared" si="10"/>
        <v>-0.7568065291867911</v>
      </c>
      <c r="Z40" s="203">
        <f t="shared" si="11"/>
        <v>-0.4450575466495398</v>
      </c>
      <c r="AA40" s="203">
        <f t="shared" si="12"/>
        <v>0</v>
      </c>
      <c r="AB40" s="203">
        <f t="shared" si="13"/>
        <v>0</v>
      </c>
      <c r="AC40" s="85">
        <f t="shared" si="82"/>
        <v>-0.7568065291867911</v>
      </c>
      <c r="AD40" s="85">
        <f t="shared" si="83"/>
        <v>-0.4450575466495398</v>
      </c>
      <c r="AE40" s="85">
        <f t="shared" si="84"/>
        <v>0.8779705817676721</v>
      </c>
      <c r="AF40" s="205">
        <f t="shared" si="85"/>
        <v>0.35714285714285715</v>
      </c>
      <c r="AG40" s="85">
        <f t="shared" si="86"/>
        <v>226.57777750279098</v>
      </c>
      <c r="AH40" s="85">
        <f t="shared" si="87"/>
        <v>2.029936255789661</v>
      </c>
      <c r="AI40" s="85">
        <f t="shared" si="88"/>
        <v>-110.56119011054648</v>
      </c>
      <c r="AJ40" s="85">
        <f t="shared" si="89"/>
        <v>-197.11761433815508</v>
      </c>
      <c r="AK40" s="85">
        <f t="shared" si="90"/>
        <v>-115.09529012685128</v>
      </c>
      <c r="AL40" s="85">
        <f t="shared" si="91"/>
        <v>194.55086135113928</v>
      </c>
      <c r="AM40" s="97">
        <f t="shared" si="92"/>
        <v>226.5868705360194</v>
      </c>
      <c r="AN40" s="97">
        <f t="shared" si="93"/>
        <v>226.00692609083032</v>
      </c>
      <c r="AO40" s="105">
        <f t="shared" si="94"/>
        <v>226.0463745824168</v>
      </c>
      <c r="AP40" s="1"/>
      <c r="AQ40" s="191">
        <f t="shared" si="27"/>
        <v>0</v>
      </c>
      <c r="AR40" s="185">
        <f t="shared" si="28"/>
        <v>0</v>
      </c>
      <c r="AS40" s="185">
        <f t="shared" si="29"/>
        <v>171.40211238907312</v>
      </c>
      <c r="AT40" s="185">
        <f t="shared" si="30"/>
        <v>-99.9738055235864</v>
      </c>
      <c r="AU40" s="185">
        <f t="shared" si="31"/>
        <v>0</v>
      </c>
      <c r="AV40" s="185">
        <f t="shared" si="32"/>
        <v>0</v>
      </c>
      <c r="AW40" s="192">
        <f t="shared" si="33"/>
        <v>0.17140211238907313</v>
      </c>
      <c r="AX40" s="192">
        <f t="shared" si="34"/>
        <v>-0.09997380552358641</v>
      </c>
      <c r="AY40" s="193">
        <f t="shared" si="35"/>
        <v>0.1984274323834896</v>
      </c>
      <c r="BA40" s="199">
        <f t="shared" si="36"/>
        <v>0.5505945303210462</v>
      </c>
    </row>
    <row r="41" spans="1:53" ht="12">
      <c r="A41" s="49" t="s">
        <v>302</v>
      </c>
      <c r="B41" s="39" t="s">
        <v>0</v>
      </c>
      <c r="C41" s="39" t="s">
        <v>23</v>
      </c>
      <c r="D41" s="95" t="s">
        <v>91</v>
      </c>
      <c r="E41" s="137">
        <v>0.1764</v>
      </c>
      <c r="F41" s="40">
        <v>0.87</v>
      </c>
      <c r="G41" s="40">
        <v>1</v>
      </c>
      <c r="H41" s="89">
        <f t="shared" si="75"/>
        <v>10</v>
      </c>
      <c r="I41" s="138">
        <v>50</v>
      </c>
      <c r="J41" s="202" t="s">
        <v>232</v>
      </c>
      <c r="K41" s="41">
        <v>4</v>
      </c>
      <c r="L41" s="40">
        <v>1</v>
      </c>
      <c r="M41" s="41" t="s">
        <v>245</v>
      </c>
      <c r="N41" s="39">
        <v>1.5</v>
      </c>
      <c r="O41" s="89">
        <f t="shared" si="76"/>
        <v>16</v>
      </c>
      <c r="P41" s="63">
        <f t="shared" si="77"/>
        <v>13.5</v>
      </c>
      <c r="Q41" s="88">
        <f t="shared" si="20"/>
        <v>93.49651420912835</v>
      </c>
      <c r="R41" s="29">
        <f t="shared" si="78"/>
        <v>5.796924944857352</v>
      </c>
      <c r="S41" s="35">
        <f t="shared" si="4"/>
        <v>2.510142133039086</v>
      </c>
      <c r="T41" s="85">
        <f t="shared" si="79"/>
        <v>0.1764</v>
      </c>
      <c r="U41" s="85">
        <f t="shared" si="80"/>
        <v>0.09997048696476105</v>
      </c>
      <c r="V41" s="110">
        <f t="shared" si="81"/>
        <v>0.8779705817676722</v>
      </c>
      <c r="W41" s="203">
        <f t="shared" si="8"/>
        <v>0</v>
      </c>
      <c r="X41" s="203">
        <f t="shared" si="9"/>
        <v>0</v>
      </c>
      <c r="Y41" s="203">
        <f t="shared" si="10"/>
        <v>0</v>
      </c>
      <c r="Z41" s="203">
        <f t="shared" si="11"/>
        <v>0</v>
      </c>
      <c r="AA41" s="203">
        <f t="shared" si="12"/>
        <v>-0.007027876951083306</v>
      </c>
      <c r="AB41" s="203">
        <f t="shared" si="13"/>
        <v>0.8779424533504603</v>
      </c>
      <c r="AC41" s="85">
        <f t="shared" si="82"/>
        <v>-0.007027876951083306</v>
      </c>
      <c r="AD41" s="85">
        <f t="shared" si="83"/>
        <v>0.8779424533504603</v>
      </c>
      <c r="AE41" s="85">
        <f t="shared" si="84"/>
        <v>0.8779705817676722</v>
      </c>
      <c r="AF41" s="205">
        <f t="shared" si="85"/>
        <v>0.5952380952380952</v>
      </c>
      <c r="AG41" s="85">
        <f t="shared" si="86"/>
        <v>226.57777750279098</v>
      </c>
      <c r="AH41" s="85">
        <f t="shared" si="87"/>
        <v>2.029936255789661</v>
      </c>
      <c r="AI41" s="85">
        <f t="shared" si="88"/>
        <v>-111.10176620282276</v>
      </c>
      <c r="AJ41" s="85">
        <f t="shared" si="89"/>
        <v>-197.4355125857619</v>
      </c>
      <c r="AK41" s="85">
        <f t="shared" si="90"/>
        <v>-115.08692360667142</v>
      </c>
      <c r="AL41" s="85">
        <f t="shared" si="91"/>
        <v>193.5056917638173</v>
      </c>
      <c r="AM41" s="97">
        <f t="shared" si="92"/>
        <v>226.5868705360194</v>
      </c>
      <c r="AN41" s="97">
        <f t="shared" si="93"/>
        <v>226.54885584215435</v>
      </c>
      <c r="AO41" s="105">
        <f t="shared" si="94"/>
        <v>225.14318273099298</v>
      </c>
      <c r="AP41" s="1"/>
      <c r="AQ41" s="191">
        <f t="shared" si="27"/>
        <v>0</v>
      </c>
      <c r="AR41" s="185">
        <f t="shared" si="28"/>
        <v>0</v>
      </c>
      <c r="AS41" s="185">
        <f t="shared" si="29"/>
        <v>0</v>
      </c>
      <c r="AT41" s="185">
        <f t="shared" si="30"/>
        <v>0</v>
      </c>
      <c r="AU41" s="185">
        <f t="shared" si="31"/>
        <v>170.69567850219013</v>
      </c>
      <c r="AV41" s="185">
        <f t="shared" si="32"/>
        <v>-99.67976186874775</v>
      </c>
      <c r="AW41" s="192">
        <f t="shared" si="33"/>
        <v>0.17069567850219014</v>
      </c>
      <c r="AX41" s="192">
        <f t="shared" si="34"/>
        <v>-0.09967976186874775</v>
      </c>
      <c r="AY41" s="193">
        <f t="shared" si="35"/>
        <v>0.19766909112335523</v>
      </c>
      <c r="BA41" s="199">
        <f t="shared" si="36"/>
        <v>0.917657550535077</v>
      </c>
    </row>
    <row r="42" spans="1:53" ht="12">
      <c r="A42" s="49" t="s">
        <v>303</v>
      </c>
      <c r="B42" s="39" t="s">
        <v>1</v>
      </c>
      <c r="C42" s="39" t="s">
        <v>24</v>
      </c>
      <c r="D42" s="95" t="s">
        <v>92</v>
      </c>
      <c r="E42" s="137">
        <v>21</v>
      </c>
      <c r="F42" s="40">
        <v>0.9</v>
      </c>
      <c r="G42" s="40">
        <v>1</v>
      </c>
      <c r="H42" s="89">
        <f t="shared" si="75"/>
        <v>40</v>
      </c>
      <c r="I42" s="138">
        <v>30</v>
      </c>
      <c r="J42" s="202" t="s">
        <v>233</v>
      </c>
      <c r="K42" s="41">
        <v>5</v>
      </c>
      <c r="L42" s="40">
        <v>1</v>
      </c>
      <c r="M42" s="41" t="s">
        <v>245</v>
      </c>
      <c r="N42" s="39">
        <v>16</v>
      </c>
      <c r="O42" s="89">
        <f t="shared" si="76"/>
        <v>40</v>
      </c>
      <c r="P42" s="63">
        <f t="shared" si="77"/>
        <v>66</v>
      </c>
      <c r="Q42" s="88">
        <f t="shared" si="20"/>
        <v>48.97156711707853</v>
      </c>
      <c r="R42" s="29">
        <f t="shared" si="78"/>
        <v>6.0718265673245355</v>
      </c>
      <c r="S42" s="35">
        <f t="shared" si="4"/>
        <v>2.629178027338156</v>
      </c>
      <c r="T42" s="85">
        <f t="shared" si="79"/>
        <v>21</v>
      </c>
      <c r="U42" s="85">
        <f t="shared" si="80"/>
        <v>10.170764201594903</v>
      </c>
      <c r="V42" s="110">
        <f t="shared" si="81"/>
        <v>33.67876570272817</v>
      </c>
      <c r="W42" s="203">
        <f t="shared" si="8"/>
        <v>30.310889132455355</v>
      </c>
      <c r="X42" s="203">
        <f t="shared" si="9"/>
        <v>-14.680233624137566</v>
      </c>
      <c r="Y42" s="203">
        <f t="shared" si="10"/>
        <v>-27.868899818221305</v>
      </c>
      <c r="Z42" s="203">
        <f t="shared" si="11"/>
        <v>-18.909883187931225</v>
      </c>
      <c r="AA42" s="203">
        <f t="shared" si="12"/>
        <v>-2.44198931423404</v>
      </c>
      <c r="AB42" s="203">
        <f t="shared" si="13"/>
        <v>33.590116812068786</v>
      </c>
      <c r="AC42" s="85">
        <f t="shared" si="82"/>
        <v>9.769962616701378E-15</v>
      </c>
      <c r="AD42" s="85">
        <f t="shared" si="83"/>
        <v>0</v>
      </c>
      <c r="AE42" s="85">
        <f t="shared" si="84"/>
        <v>33.67876570272817</v>
      </c>
      <c r="AF42" s="205">
        <f t="shared" si="85"/>
        <v>0.033482142857142856</v>
      </c>
      <c r="AG42" s="85">
        <f t="shared" si="86"/>
        <v>224.85227663149578</v>
      </c>
      <c r="AH42" s="85">
        <f t="shared" si="87"/>
        <v>2.682823575316967</v>
      </c>
      <c r="AI42" s="85">
        <f t="shared" si="88"/>
        <v>-110.41109420603948</v>
      </c>
      <c r="AJ42" s="85">
        <f t="shared" si="89"/>
        <v>-196.58913233991103</v>
      </c>
      <c r="AK42" s="85">
        <f t="shared" si="90"/>
        <v>-115.15995394362483</v>
      </c>
      <c r="AL42" s="85">
        <f t="shared" si="91"/>
        <v>193.27089603995879</v>
      </c>
      <c r="AM42" s="97">
        <f t="shared" si="92"/>
        <v>224.8682811085258</v>
      </c>
      <c r="AN42" s="97">
        <f t="shared" si="93"/>
        <v>225.4726073782223</v>
      </c>
      <c r="AO42" s="105">
        <f t="shared" si="94"/>
        <v>224.97878621858183</v>
      </c>
      <c r="AP42" s="1"/>
      <c r="AQ42" s="191">
        <f t="shared" si="27"/>
        <v>6776.087951299453</v>
      </c>
      <c r="AR42" s="185">
        <f t="shared" si="28"/>
        <v>-3382.202719822936</v>
      </c>
      <c r="AS42" s="185">
        <f t="shared" si="29"/>
        <v>6794.513251812779</v>
      </c>
      <c r="AT42" s="185">
        <f t="shared" si="30"/>
        <v>-3390.8619404441542</v>
      </c>
      <c r="AU42" s="185">
        <f t="shared" si="31"/>
        <v>6773.2113513134345</v>
      </c>
      <c r="AV42" s="185">
        <f t="shared" si="32"/>
        <v>-3396.2708421568022</v>
      </c>
      <c r="AW42" s="192">
        <f t="shared" si="33"/>
        <v>20.343812554425668</v>
      </c>
      <c r="AX42" s="192">
        <f t="shared" si="34"/>
        <v>-10.169335502423891</v>
      </c>
      <c r="AY42" s="193">
        <f t="shared" si="35"/>
        <v>22.743924327399316</v>
      </c>
      <c r="BA42" s="199">
        <f t="shared" si="36"/>
        <v>113.93229166666667</v>
      </c>
    </row>
    <row r="43" spans="1:53" ht="12">
      <c r="A43" s="49" t="s">
        <v>304</v>
      </c>
      <c r="B43" s="39" t="s">
        <v>1</v>
      </c>
      <c r="C43" s="39" t="s">
        <v>25</v>
      </c>
      <c r="D43" s="95" t="s">
        <v>93</v>
      </c>
      <c r="E43" s="137">
        <v>21</v>
      </c>
      <c r="F43" s="40">
        <v>0.9</v>
      </c>
      <c r="G43" s="40">
        <v>1</v>
      </c>
      <c r="H43" s="89">
        <f t="shared" si="75"/>
        <v>40</v>
      </c>
      <c r="I43" s="138">
        <v>30</v>
      </c>
      <c r="J43" s="202" t="s">
        <v>233</v>
      </c>
      <c r="K43" s="41">
        <v>5</v>
      </c>
      <c r="L43" s="40">
        <v>1</v>
      </c>
      <c r="M43" s="41" t="s">
        <v>245</v>
      </c>
      <c r="N43" s="39">
        <v>16</v>
      </c>
      <c r="O43" s="89">
        <f t="shared" si="76"/>
        <v>40</v>
      </c>
      <c r="P43" s="63">
        <f t="shared" si="77"/>
        <v>66</v>
      </c>
      <c r="Q43" s="88">
        <f t="shared" si="20"/>
        <v>48.97156711707853</v>
      </c>
      <c r="R43" s="29">
        <f t="shared" si="78"/>
        <v>6.0718265673245355</v>
      </c>
      <c r="S43" s="35">
        <f t="shared" si="4"/>
        <v>2.629178027338156</v>
      </c>
      <c r="T43" s="85">
        <f t="shared" si="79"/>
        <v>21</v>
      </c>
      <c r="U43" s="85">
        <f t="shared" si="80"/>
        <v>10.170764201594903</v>
      </c>
      <c r="V43" s="110">
        <f t="shared" si="81"/>
        <v>33.67876570272817</v>
      </c>
      <c r="W43" s="203">
        <f t="shared" si="8"/>
        <v>30.310889132455355</v>
      </c>
      <c r="X43" s="203">
        <f t="shared" si="9"/>
        <v>-14.680233624137566</v>
      </c>
      <c r="Y43" s="203">
        <f t="shared" si="10"/>
        <v>-27.868899818221305</v>
      </c>
      <c r="Z43" s="203">
        <f t="shared" si="11"/>
        <v>-18.909883187931225</v>
      </c>
      <c r="AA43" s="203">
        <f t="shared" si="12"/>
        <v>-2.44198931423404</v>
      </c>
      <c r="AB43" s="203">
        <f t="shared" si="13"/>
        <v>33.590116812068786</v>
      </c>
      <c r="AC43" s="85">
        <f t="shared" si="82"/>
        <v>9.769962616701378E-15</v>
      </c>
      <c r="AD43" s="85">
        <f t="shared" si="83"/>
        <v>0</v>
      </c>
      <c r="AE43" s="85">
        <f t="shared" si="84"/>
        <v>33.67876570272817</v>
      </c>
      <c r="AF43" s="205">
        <f t="shared" si="85"/>
        <v>0.033482142857142856</v>
      </c>
      <c r="AG43" s="85">
        <f t="shared" si="86"/>
        <v>224.85227663149578</v>
      </c>
      <c r="AH43" s="85">
        <f t="shared" si="87"/>
        <v>2.682823575316967</v>
      </c>
      <c r="AI43" s="85">
        <f t="shared" si="88"/>
        <v>-110.41109420603948</v>
      </c>
      <c r="AJ43" s="85">
        <f t="shared" si="89"/>
        <v>-196.58913233991103</v>
      </c>
      <c r="AK43" s="85">
        <f t="shared" si="90"/>
        <v>-115.15995394362483</v>
      </c>
      <c r="AL43" s="85">
        <f t="shared" si="91"/>
        <v>193.27089603995879</v>
      </c>
      <c r="AM43" s="97">
        <f t="shared" si="92"/>
        <v>224.8682811085258</v>
      </c>
      <c r="AN43" s="97">
        <f t="shared" si="93"/>
        <v>225.4726073782223</v>
      </c>
      <c r="AO43" s="105">
        <f t="shared" si="94"/>
        <v>224.97878621858183</v>
      </c>
      <c r="AP43" s="1"/>
      <c r="AQ43" s="191">
        <f t="shared" si="27"/>
        <v>6776.087951299453</v>
      </c>
      <c r="AR43" s="185">
        <f t="shared" si="28"/>
        <v>-3382.202719822936</v>
      </c>
      <c r="AS43" s="185">
        <f t="shared" si="29"/>
        <v>6794.513251812779</v>
      </c>
      <c r="AT43" s="185">
        <f t="shared" si="30"/>
        <v>-3390.8619404441542</v>
      </c>
      <c r="AU43" s="185">
        <f t="shared" si="31"/>
        <v>6773.2113513134345</v>
      </c>
      <c r="AV43" s="185">
        <f t="shared" si="32"/>
        <v>-3396.2708421568022</v>
      </c>
      <c r="AW43" s="192">
        <f t="shared" si="33"/>
        <v>20.343812554425668</v>
      </c>
      <c r="AX43" s="192">
        <f t="shared" si="34"/>
        <v>-10.169335502423891</v>
      </c>
      <c r="AY43" s="193">
        <f t="shared" si="35"/>
        <v>22.743924327399316</v>
      </c>
      <c r="BA43" s="199">
        <f t="shared" si="36"/>
        <v>113.93229166666667</v>
      </c>
    </row>
    <row r="44" spans="1:53" ht="12">
      <c r="A44" s="49" t="s">
        <v>305</v>
      </c>
      <c r="B44" s="39" t="s">
        <v>1</v>
      </c>
      <c r="C44" s="39" t="s">
        <v>26</v>
      </c>
      <c r="D44" s="95" t="s">
        <v>94</v>
      </c>
      <c r="E44" s="137">
        <v>23</v>
      </c>
      <c r="F44" s="40">
        <v>0.9</v>
      </c>
      <c r="G44" s="40">
        <v>1</v>
      </c>
      <c r="H44" s="89">
        <f t="shared" si="75"/>
        <v>40</v>
      </c>
      <c r="I44" s="138">
        <v>30</v>
      </c>
      <c r="J44" s="202" t="s">
        <v>233</v>
      </c>
      <c r="K44" s="41">
        <v>5</v>
      </c>
      <c r="L44" s="40">
        <v>1</v>
      </c>
      <c r="M44" s="41" t="s">
        <v>245</v>
      </c>
      <c r="N44" s="39">
        <v>16</v>
      </c>
      <c r="O44" s="89">
        <f t="shared" si="76"/>
        <v>40</v>
      </c>
      <c r="P44" s="63">
        <f t="shared" si="77"/>
        <v>66</v>
      </c>
      <c r="Q44" s="88">
        <f t="shared" si="20"/>
        <v>44.111716366324096</v>
      </c>
      <c r="R44" s="29">
        <f t="shared" si="78"/>
        <v>6.167910695104865</v>
      </c>
      <c r="S44" s="35">
        <f t="shared" si="4"/>
        <v>2.670783675117274</v>
      </c>
      <c r="T44" s="85">
        <f t="shared" si="79"/>
        <v>23</v>
      </c>
      <c r="U44" s="85">
        <f t="shared" si="80"/>
        <v>11.139408411270608</v>
      </c>
      <c r="V44" s="110">
        <f t="shared" si="81"/>
        <v>36.88626719822609</v>
      </c>
      <c r="W44" s="203">
        <f t="shared" si="8"/>
        <v>33.197640478403486</v>
      </c>
      <c r="X44" s="203">
        <f t="shared" si="9"/>
        <v>-16.07835111215067</v>
      </c>
      <c r="Y44" s="203">
        <f t="shared" si="10"/>
        <v>-30.52308075329</v>
      </c>
      <c r="Z44" s="203">
        <f t="shared" si="11"/>
        <v>-20.710824443924675</v>
      </c>
      <c r="AA44" s="203">
        <f t="shared" si="12"/>
        <v>-2.6745597251134723</v>
      </c>
      <c r="AB44" s="203">
        <f t="shared" si="13"/>
        <v>36.78917555607534</v>
      </c>
      <c r="AC44" s="85">
        <f t="shared" si="82"/>
        <v>1.3766765505351941E-14</v>
      </c>
      <c r="AD44" s="85">
        <f t="shared" si="83"/>
        <v>0</v>
      </c>
      <c r="AE44" s="85">
        <f t="shared" si="84"/>
        <v>36.8862671982261</v>
      </c>
      <c r="AF44" s="205">
        <f t="shared" si="85"/>
        <v>0.033482142857142856</v>
      </c>
      <c r="AG44" s="85">
        <f t="shared" si="86"/>
        <v>224.7556220105377</v>
      </c>
      <c r="AH44" s="85">
        <f t="shared" si="87"/>
        <v>2.7296355447816913</v>
      </c>
      <c r="AI44" s="85">
        <f t="shared" si="88"/>
        <v>-110.3222265408028</v>
      </c>
      <c r="AJ44" s="85">
        <f t="shared" si="89"/>
        <v>-196.52883296750053</v>
      </c>
      <c r="AK44" s="85">
        <f t="shared" si="90"/>
        <v>-115.15216698790341</v>
      </c>
      <c r="AL44" s="85">
        <f t="shared" si="91"/>
        <v>193.16378469808356</v>
      </c>
      <c r="AM44" s="97">
        <f t="shared" si="92"/>
        <v>224.77219698074546</v>
      </c>
      <c r="AN44" s="97">
        <f t="shared" si="93"/>
        <v>225.37652019784124</v>
      </c>
      <c r="AO44" s="105">
        <f t="shared" si="94"/>
        <v>224.8827900949683</v>
      </c>
      <c r="AP44" s="1"/>
      <c r="AQ44" s="191">
        <f t="shared" si="27"/>
        <v>7417.468296308573</v>
      </c>
      <c r="AR44" s="185">
        <f t="shared" si="28"/>
        <v>-3704.3172645679783</v>
      </c>
      <c r="AS44" s="185">
        <f t="shared" si="29"/>
        <v>7437.648387346977</v>
      </c>
      <c r="AT44" s="185">
        <f t="shared" si="30"/>
        <v>-3713.8011728674064</v>
      </c>
      <c r="AU44" s="185">
        <f t="shared" si="31"/>
        <v>7414.317734419124</v>
      </c>
      <c r="AV44" s="185">
        <f t="shared" si="32"/>
        <v>-3719.725208076498</v>
      </c>
      <c r="AW44" s="192">
        <f t="shared" si="33"/>
        <v>22.269434418074674</v>
      </c>
      <c r="AX44" s="192">
        <f t="shared" si="34"/>
        <v>-11.137843645511882</v>
      </c>
      <c r="AY44" s="193">
        <f t="shared" si="35"/>
        <v>24.899382931566763</v>
      </c>
      <c r="BA44" s="199">
        <f t="shared" si="36"/>
        <v>136.66708002645507</v>
      </c>
    </row>
    <row r="45" spans="1:53" ht="12">
      <c r="A45" s="49" t="s">
        <v>306</v>
      </c>
      <c r="B45" s="39" t="s">
        <v>1</v>
      </c>
      <c r="C45" s="39" t="s">
        <v>27</v>
      </c>
      <c r="D45" s="95" t="s">
        <v>95</v>
      </c>
      <c r="E45" s="137">
        <v>1.2</v>
      </c>
      <c r="F45" s="40">
        <v>0.9</v>
      </c>
      <c r="G45" s="40">
        <v>1</v>
      </c>
      <c r="H45" s="89">
        <f t="shared" si="75"/>
        <v>10</v>
      </c>
      <c r="I45" s="138">
        <v>30</v>
      </c>
      <c r="J45" s="39" t="s">
        <v>232</v>
      </c>
      <c r="K45" s="41">
        <v>4</v>
      </c>
      <c r="L45" s="40">
        <v>1</v>
      </c>
      <c r="M45" s="41" t="s">
        <v>245</v>
      </c>
      <c r="N45" s="39">
        <v>6</v>
      </c>
      <c r="O45" s="89">
        <f t="shared" si="76"/>
        <v>25</v>
      </c>
      <c r="P45" s="63">
        <f t="shared" si="77"/>
        <v>32</v>
      </c>
      <c r="Q45" s="88">
        <f t="shared" si="20"/>
        <v>81.9578040878242</v>
      </c>
      <c r="R45" s="29">
        <f t="shared" si="78"/>
        <v>5.87491613932994</v>
      </c>
      <c r="S45" s="35">
        <f t="shared" si="4"/>
        <v>2.5439133108814636</v>
      </c>
      <c r="T45" s="85">
        <f t="shared" si="79"/>
        <v>1.2</v>
      </c>
      <c r="U45" s="85">
        <f t="shared" si="80"/>
        <v>0.5811865258054231</v>
      </c>
      <c r="V45" s="110">
        <f t="shared" si="81"/>
        <v>5.773502691896256</v>
      </c>
      <c r="W45" s="203">
        <f t="shared" si="8"/>
        <v>0</v>
      </c>
      <c r="X45" s="203">
        <f t="shared" si="9"/>
        <v>0</v>
      </c>
      <c r="Y45" s="203">
        <f t="shared" si="10"/>
        <v>0</v>
      </c>
      <c r="Z45" s="203">
        <f t="shared" si="11"/>
        <v>0</v>
      </c>
      <c r="AA45" s="203">
        <f t="shared" si="12"/>
        <v>-0.4186267395829782</v>
      </c>
      <c r="AB45" s="203">
        <f t="shared" si="13"/>
        <v>5.7583057392117905</v>
      </c>
      <c r="AC45" s="85">
        <f t="shared" si="82"/>
        <v>-0.4186267395829782</v>
      </c>
      <c r="AD45" s="85">
        <f t="shared" si="83"/>
        <v>5.7583057392117905</v>
      </c>
      <c r="AE45" s="85">
        <f t="shared" si="84"/>
        <v>5.773502691896256</v>
      </c>
      <c r="AF45" s="205">
        <f t="shared" si="85"/>
        <v>0.08928571428571429</v>
      </c>
      <c r="AG45" s="85">
        <f t="shared" si="86"/>
        <v>225.86715015155568</v>
      </c>
      <c r="AH45" s="85">
        <f t="shared" si="87"/>
        <v>2.191297895937361</v>
      </c>
      <c r="AI45" s="85">
        <f t="shared" si="88"/>
        <v>-111.34420469102457</v>
      </c>
      <c r="AJ45" s="85">
        <f t="shared" si="89"/>
        <v>-197.22227575022123</v>
      </c>
      <c r="AK45" s="85">
        <f t="shared" si="90"/>
        <v>-115.16696220377409</v>
      </c>
      <c r="AL45" s="85">
        <f t="shared" si="91"/>
        <v>193.3672962476465</v>
      </c>
      <c r="AM45" s="97">
        <f t="shared" si="92"/>
        <v>225.8777795712853</v>
      </c>
      <c r="AN45" s="97">
        <f t="shared" si="93"/>
        <v>226.48213609548344</v>
      </c>
      <c r="AO45" s="105">
        <f t="shared" si="94"/>
        <v>225.0651915365204</v>
      </c>
      <c r="AP45" s="1"/>
      <c r="AQ45" s="191">
        <f t="shared" si="27"/>
        <v>0</v>
      </c>
      <c r="AR45" s="185">
        <f t="shared" si="28"/>
        <v>0</v>
      </c>
      <c r="AS45" s="185">
        <f t="shared" si="29"/>
        <v>0</v>
      </c>
      <c r="AT45" s="185">
        <f t="shared" si="30"/>
        <v>0</v>
      </c>
      <c r="AU45" s="185">
        <f t="shared" si="31"/>
        <v>1161.6799816537314</v>
      </c>
      <c r="AV45" s="185">
        <f t="shared" si="32"/>
        <v>-582.2178586554516</v>
      </c>
      <c r="AW45" s="192">
        <f t="shared" si="33"/>
        <v>1.1616799816537313</v>
      </c>
      <c r="AX45" s="192">
        <f t="shared" si="34"/>
        <v>-0.5822178586554515</v>
      </c>
      <c r="AY45" s="193">
        <f t="shared" si="35"/>
        <v>1.2994144891882469</v>
      </c>
      <c r="BA45" s="199">
        <f t="shared" si="36"/>
        <v>5.952380952380951</v>
      </c>
    </row>
    <row r="46" spans="1:53" ht="12">
      <c r="A46" s="49" t="s">
        <v>307</v>
      </c>
      <c r="B46" s="39" t="s">
        <v>2</v>
      </c>
      <c r="C46" s="39" t="s">
        <v>28</v>
      </c>
      <c r="D46" s="95" t="s">
        <v>96</v>
      </c>
      <c r="E46" s="137">
        <v>0.816</v>
      </c>
      <c r="F46" s="40">
        <v>0.92</v>
      </c>
      <c r="G46" s="40">
        <v>1</v>
      </c>
      <c r="H46" s="89">
        <f t="shared" si="75"/>
        <v>10</v>
      </c>
      <c r="I46" s="138">
        <v>25</v>
      </c>
      <c r="J46" s="39" t="s">
        <v>230</v>
      </c>
      <c r="K46" s="41">
        <v>4</v>
      </c>
      <c r="L46" s="40">
        <v>1</v>
      </c>
      <c r="M46" s="41" t="s">
        <v>245</v>
      </c>
      <c r="N46" s="39">
        <v>10</v>
      </c>
      <c r="O46" s="89">
        <f t="shared" si="76"/>
        <v>25</v>
      </c>
      <c r="P46" s="63">
        <f t="shared" si="77"/>
        <v>44</v>
      </c>
      <c r="Q46" s="88">
        <f t="shared" si="20"/>
        <v>91.2712854559276</v>
      </c>
      <c r="R46" s="29">
        <f t="shared" si="78"/>
        <v>4.838281133493979</v>
      </c>
      <c r="S46" s="35">
        <f t="shared" si="4"/>
        <v>2.0950371861283767</v>
      </c>
      <c r="T46" s="85">
        <f t="shared" si="79"/>
        <v>0.816</v>
      </c>
      <c r="U46" s="85">
        <f t="shared" si="80"/>
        <v>0.3476145443671429</v>
      </c>
      <c r="V46" s="110">
        <f t="shared" si="81"/>
        <v>3.840634399391858</v>
      </c>
      <c r="W46" s="203">
        <f t="shared" si="8"/>
        <v>3.53338364744051</v>
      </c>
      <c r="X46" s="203">
        <f t="shared" si="9"/>
        <v>-1.505215130734493</v>
      </c>
      <c r="Y46" s="203">
        <f t="shared" si="10"/>
        <v>0</v>
      </c>
      <c r="Z46" s="203">
        <f t="shared" si="11"/>
        <v>0</v>
      </c>
      <c r="AA46" s="203">
        <f t="shared" si="12"/>
        <v>0</v>
      </c>
      <c r="AB46" s="203">
        <f t="shared" si="13"/>
        <v>0</v>
      </c>
      <c r="AC46" s="85">
        <f t="shared" si="82"/>
        <v>3.53338364744051</v>
      </c>
      <c r="AD46" s="85">
        <f t="shared" si="83"/>
        <v>-1.505215130734493</v>
      </c>
      <c r="AE46" s="85">
        <f t="shared" si="84"/>
        <v>3.8406343993918584</v>
      </c>
      <c r="AF46" s="205">
        <f t="shared" si="85"/>
        <v>0.044642857142857144</v>
      </c>
      <c r="AG46" s="85">
        <f t="shared" si="86"/>
        <v>226.09185196088723</v>
      </c>
      <c r="AH46" s="85">
        <f t="shared" si="87"/>
        <v>2.123780281962698</v>
      </c>
      <c r="AI46" s="85">
        <f t="shared" si="88"/>
        <v>-112.87090174310717</v>
      </c>
      <c r="AJ46" s="85">
        <f t="shared" si="89"/>
        <v>-197.71679843753878</v>
      </c>
      <c r="AK46" s="85">
        <f t="shared" si="90"/>
        <v>-115.67940522881894</v>
      </c>
      <c r="AL46" s="85">
        <f t="shared" si="91"/>
        <v>196.15994075910265</v>
      </c>
      <c r="AM46" s="97">
        <f t="shared" si="92"/>
        <v>226.10182654235635</v>
      </c>
      <c r="AN46" s="97">
        <f t="shared" si="93"/>
        <v>227.66592376702425</v>
      </c>
      <c r="AO46" s="105">
        <f t="shared" si="94"/>
        <v>227.72888958739506</v>
      </c>
      <c r="AP46" s="1"/>
      <c r="AQ46" s="191">
        <f t="shared" si="27"/>
        <v>795.6725063233737</v>
      </c>
      <c r="AR46" s="185">
        <f t="shared" si="28"/>
        <v>-347.8210070263541</v>
      </c>
      <c r="AS46" s="185">
        <f t="shared" si="29"/>
        <v>0</v>
      </c>
      <c r="AT46" s="185">
        <f t="shared" si="30"/>
        <v>0</v>
      </c>
      <c r="AU46" s="185">
        <f t="shared" si="31"/>
        <v>0</v>
      </c>
      <c r="AV46" s="185">
        <f t="shared" si="32"/>
        <v>0</v>
      </c>
      <c r="AW46" s="192">
        <f t="shared" si="33"/>
        <v>0.7956725063233737</v>
      </c>
      <c r="AX46" s="192">
        <f t="shared" si="34"/>
        <v>-0.3478210070263541</v>
      </c>
      <c r="AY46" s="193">
        <f t="shared" si="35"/>
        <v>0.8683744527839049</v>
      </c>
      <c r="BA46" s="199">
        <f t="shared" si="36"/>
        <v>1.317006481231434</v>
      </c>
    </row>
    <row r="47" spans="1:53" ht="12">
      <c r="A47" s="49" t="s">
        <v>308</v>
      </c>
      <c r="B47" s="39" t="s">
        <v>2</v>
      </c>
      <c r="C47" s="39" t="s">
        <v>29</v>
      </c>
      <c r="D47" s="95" t="s">
        <v>97</v>
      </c>
      <c r="E47" s="137">
        <v>0.816</v>
      </c>
      <c r="F47" s="40">
        <v>0.92</v>
      </c>
      <c r="G47" s="40">
        <v>1</v>
      </c>
      <c r="H47" s="89">
        <f t="shared" si="75"/>
        <v>10</v>
      </c>
      <c r="I47" s="138">
        <v>25</v>
      </c>
      <c r="J47" s="39" t="s">
        <v>231</v>
      </c>
      <c r="K47" s="41">
        <v>4</v>
      </c>
      <c r="L47" s="40">
        <v>1</v>
      </c>
      <c r="M47" s="41" t="s">
        <v>245</v>
      </c>
      <c r="N47" s="39">
        <v>10</v>
      </c>
      <c r="O47" s="89">
        <f t="shared" si="76"/>
        <v>25</v>
      </c>
      <c r="P47" s="63">
        <f t="shared" si="77"/>
        <v>44</v>
      </c>
      <c r="Q47" s="88">
        <f t="shared" si="20"/>
        <v>91.2712854559276</v>
      </c>
      <c r="R47" s="29">
        <f t="shared" si="78"/>
        <v>3.5889653585082044</v>
      </c>
      <c r="S47" s="35">
        <f t="shared" si="4"/>
        <v>1.554067586885215</v>
      </c>
      <c r="T47" s="85">
        <f t="shared" si="79"/>
        <v>0.816</v>
      </c>
      <c r="U47" s="85">
        <f t="shared" si="80"/>
        <v>0.3476145443671429</v>
      </c>
      <c r="V47" s="110">
        <f t="shared" si="81"/>
        <v>3.840634399391858</v>
      </c>
      <c r="W47" s="203">
        <f t="shared" si="8"/>
        <v>0</v>
      </c>
      <c r="X47" s="203">
        <f t="shared" si="9"/>
        <v>0</v>
      </c>
      <c r="Y47" s="203">
        <f t="shared" si="10"/>
        <v>-3.07024636509704</v>
      </c>
      <c r="Z47" s="203">
        <f t="shared" si="11"/>
        <v>-2.307392434632754</v>
      </c>
      <c r="AA47" s="203">
        <f t="shared" si="12"/>
        <v>0</v>
      </c>
      <c r="AB47" s="203">
        <f t="shared" si="13"/>
        <v>0</v>
      </c>
      <c r="AC47" s="85">
        <f t="shared" si="82"/>
        <v>-3.07024636509704</v>
      </c>
      <c r="AD47" s="85">
        <f t="shared" si="83"/>
        <v>-2.307392434632754</v>
      </c>
      <c r="AE47" s="85">
        <f t="shared" si="84"/>
        <v>3.8406343993918575</v>
      </c>
      <c r="AF47" s="205">
        <f t="shared" si="85"/>
        <v>0.044642857142857144</v>
      </c>
      <c r="AG47" s="85">
        <f t="shared" si="86"/>
        <v>226.40733264369442</v>
      </c>
      <c r="AH47" s="85">
        <f t="shared" si="87"/>
        <v>1.9893860738614042</v>
      </c>
      <c r="AI47" s="85">
        <f t="shared" si="88"/>
        <v>-112.59677260336636</v>
      </c>
      <c r="AJ47" s="85">
        <f t="shared" si="89"/>
        <v>-197.51078125587514</v>
      </c>
      <c r="AK47" s="85">
        <f t="shared" si="90"/>
        <v>-115.67940522881894</v>
      </c>
      <c r="AL47" s="85">
        <f t="shared" si="91"/>
        <v>196.15994075910265</v>
      </c>
      <c r="AM47" s="97">
        <f t="shared" si="92"/>
        <v>226.41607260038623</v>
      </c>
      <c r="AN47" s="97">
        <f t="shared" si="93"/>
        <v>227.35114231734212</v>
      </c>
      <c r="AO47" s="105">
        <f t="shared" si="94"/>
        <v>227.72888958739506</v>
      </c>
      <c r="AP47" s="1"/>
      <c r="AQ47" s="191">
        <f t="shared" si="27"/>
        <v>0</v>
      </c>
      <c r="AR47" s="185">
        <f t="shared" si="28"/>
        <v>0</v>
      </c>
      <c r="AS47" s="185">
        <f t="shared" si="29"/>
        <v>801.4347142353547</v>
      </c>
      <c r="AT47" s="185">
        <f t="shared" si="30"/>
        <v>-346.6018169492552</v>
      </c>
      <c r="AU47" s="185">
        <f t="shared" si="31"/>
        <v>0</v>
      </c>
      <c r="AV47" s="185">
        <f t="shared" si="32"/>
        <v>0</v>
      </c>
      <c r="AW47" s="192">
        <f t="shared" si="33"/>
        <v>0.8014347142353547</v>
      </c>
      <c r="AX47" s="192">
        <f t="shared" si="34"/>
        <v>-0.3466018169492552</v>
      </c>
      <c r="AY47" s="193">
        <f t="shared" si="35"/>
        <v>0.8731726179250181</v>
      </c>
      <c r="BA47" s="199">
        <f t="shared" si="36"/>
        <v>1.3170064812314335</v>
      </c>
    </row>
    <row r="48" spans="1:53" ht="12">
      <c r="A48" s="49" t="s">
        <v>309</v>
      </c>
      <c r="B48" s="39" t="s">
        <v>2</v>
      </c>
      <c r="C48" s="39" t="s">
        <v>30</v>
      </c>
      <c r="D48" s="95" t="s">
        <v>98</v>
      </c>
      <c r="E48" s="137">
        <v>0.816</v>
      </c>
      <c r="F48" s="40">
        <v>0.92</v>
      </c>
      <c r="G48" s="40">
        <v>1</v>
      </c>
      <c r="H48" s="89">
        <f t="shared" si="74"/>
        <v>10</v>
      </c>
      <c r="I48" s="138">
        <v>25</v>
      </c>
      <c r="J48" s="39" t="s">
        <v>232</v>
      </c>
      <c r="K48" s="41">
        <v>4</v>
      </c>
      <c r="L48" s="40">
        <v>1</v>
      </c>
      <c r="M48" s="41" t="s">
        <v>245</v>
      </c>
      <c r="N48" s="39">
        <v>10</v>
      </c>
      <c r="O48" s="89">
        <f t="shared" si="55"/>
        <v>25</v>
      </c>
      <c r="P48" s="63">
        <f t="shared" si="56"/>
        <v>44</v>
      </c>
      <c r="Q48" s="88">
        <f t="shared" si="20"/>
        <v>91.2712854559276</v>
      </c>
      <c r="R48" s="29">
        <f t="shared" si="57"/>
        <v>3.5254037918272445</v>
      </c>
      <c r="S48" s="35">
        <f t="shared" si="4"/>
        <v>1.52654462116019</v>
      </c>
      <c r="T48" s="85">
        <f t="shared" si="58"/>
        <v>0.816</v>
      </c>
      <c r="U48" s="85">
        <f t="shared" si="59"/>
        <v>0.3476145443671429</v>
      </c>
      <c r="V48" s="110">
        <f t="shared" si="60"/>
        <v>3.840634399391858</v>
      </c>
      <c r="W48" s="203">
        <f t="shared" si="8"/>
        <v>0</v>
      </c>
      <c r="X48" s="203">
        <f t="shared" si="9"/>
        <v>0</v>
      </c>
      <c r="Y48" s="203">
        <f t="shared" si="10"/>
        <v>0</v>
      </c>
      <c r="Z48" s="203">
        <f t="shared" si="11"/>
        <v>0</v>
      </c>
      <c r="AA48" s="203">
        <f t="shared" si="12"/>
        <v>-0.463137282343468</v>
      </c>
      <c r="AB48" s="203">
        <f t="shared" si="13"/>
        <v>3.8126075653672467</v>
      </c>
      <c r="AC48" s="85">
        <f t="shared" si="61"/>
        <v>-0.463137282343468</v>
      </c>
      <c r="AD48" s="85">
        <f t="shared" si="62"/>
        <v>3.8126075653672467</v>
      </c>
      <c r="AE48" s="85">
        <f t="shared" si="63"/>
        <v>3.840634399391858</v>
      </c>
      <c r="AF48" s="205">
        <f t="shared" si="64"/>
        <v>0.044642857142857144</v>
      </c>
      <c r="AG48" s="85">
        <f t="shared" si="65"/>
        <v>226.40733264369442</v>
      </c>
      <c r="AH48" s="85">
        <f t="shared" si="66"/>
        <v>1.9893860738614042</v>
      </c>
      <c r="AI48" s="85">
        <f t="shared" si="67"/>
        <v>-112.87090174310717</v>
      </c>
      <c r="AJ48" s="85">
        <f t="shared" si="68"/>
        <v>-197.71679843753878</v>
      </c>
      <c r="AK48" s="85">
        <f t="shared" si="69"/>
        <v>-115.63805368575255</v>
      </c>
      <c r="AL48" s="85">
        <f t="shared" si="70"/>
        <v>195.81952936933772</v>
      </c>
      <c r="AM48" s="97">
        <f t="shared" si="71"/>
        <v>226.41607260038623</v>
      </c>
      <c r="AN48" s="97">
        <f t="shared" si="72"/>
        <v>227.66592376702425</v>
      </c>
      <c r="AO48" s="105">
        <f t="shared" si="73"/>
        <v>227.41470388402308</v>
      </c>
      <c r="AP48" s="1"/>
      <c r="AQ48" s="191">
        <f t="shared" si="27"/>
        <v>0</v>
      </c>
      <c r="AR48" s="185">
        <f t="shared" si="28"/>
        <v>0</v>
      </c>
      <c r="AS48" s="185">
        <f t="shared" si="29"/>
        <v>0</v>
      </c>
      <c r="AT48" s="185">
        <f t="shared" si="30"/>
        <v>0</v>
      </c>
      <c r="AU48" s="185">
        <f t="shared" si="31"/>
        <v>800.1393130396982</v>
      </c>
      <c r="AV48" s="185">
        <f t="shared" si="32"/>
        <v>-350.191193664752</v>
      </c>
      <c r="AW48" s="192">
        <f t="shared" si="33"/>
        <v>0.8001393130396982</v>
      </c>
      <c r="AX48" s="192">
        <f t="shared" si="34"/>
        <v>-0.350191193664752</v>
      </c>
      <c r="AY48" s="193">
        <f t="shared" si="35"/>
        <v>0.8734167346644922</v>
      </c>
      <c r="BA48" s="199">
        <f t="shared" si="36"/>
        <v>1.3170064812314337</v>
      </c>
    </row>
    <row r="49" spans="1:53" ht="12">
      <c r="A49" s="49" t="s">
        <v>310</v>
      </c>
      <c r="B49" s="39" t="s">
        <v>2</v>
      </c>
      <c r="C49" s="39" t="s">
        <v>31</v>
      </c>
      <c r="D49" s="95" t="s">
        <v>99</v>
      </c>
      <c r="E49" s="137">
        <v>0.816</v>
      </c>
      <c r="F49" s="40">
        <v>0.92</v>
      </c>
      <c r="G49" s="40">
        <v>1</v>
      </c>
      <c r="H49" s="89">
        <f t="shared" si="74"/>
        <v>10</v>
      </c>
      <c r="I49" s="138">
        <v>30</v>
      </c>
      <c r="J49" s="39" t="s">
        <v>230</v>
      </c>
      <c r="K49" s="41">
        <v>4</v>
      </c>
      <c r="L49" s="40">
        <v>1</v>
      </c>
      <c r="M49" s="41" t="s">
        <v>245</v>
      </c>
      <c r="N49" s="39">
        <v>10</v>
      </c>
      <c r="O49" s="89">
        <f t="shared" si="55"/>
        <v>25</v>
      </c>
      <c r="P49" s="63">
        <f t="shared" si="56"/>
        <v>44</v>
      </c>
      <c r="Q49" s="88">
        <f t="shared" si="20"/>
        <v>91.2712854559276</v>
      </c>
      <c r="R49" s="29">
        <f t="shared" si="57"/>
        <v>4.901120343667856</v>
      </c>
      <c r="S49" s="35">
        <f t="shared" si="4"/>
        <v>2.1222473623105405</v>
      </c>
      <c r="T49" s="85">
        <f t="shared" si="58"/>
        <v>0.816</v>
      </c>
      <c r="U49" s="85">
        <f t="shared" si="59"/>
        <v>0.3476145443671429</v>
      </c>
      <c r="V49" s="110">
        <f t="shared" si="60"/>
        <v>3.840634399391858</v>
      </c>
      <c r="W49" s="203">
        <f t="shared" si="8"/>
        <v>3.53338364744051</v>
      </c>
      <c r="X49" s="203">
        <f t="shared" si="9"/>
        <v>-1.505215130734493</v>
      </c>
      <c r="Y49" s="203">
        <f t="shared" si="10"/>
        <v>0</v>
      </c>
      <c r="Z49" s="203">
        <f t="shared" si="11"/>
        <v>0</v>
      </c>
      <c r="AA49" s="203">
        <f t="shared" si="12"/>
        <v>0</v>
      </c>
      <c r="AB49" s="203">
        <f t="shared" si="13"/>
        <v>0</v>
      </c>
      <c r="AC49" s="85">
        <f t="shared" si="61"/>
        <v>3.53338364744051</v>
      </c>
      <c r="AD49" s="85">
        <f t="shared" si="62"/>
        <v>-1.505215130734493</v>
      </c>
      <c r="AE49" s="85">
        <f t="shared" si="63"/>
        <v>3.8406343993918584</v>
      </c>
      <c r="AF49" s="205">
        <f t="shared" si="64"/>
        <v>0.05357142857142857</v>
      </c>
      <c r="AG49" s="85">
        <f t="shared" si="65"/>
        <v>226.0287558243258</v>
      </c>
      <c r="AH49" s="85">
        <f t="shared" si="66"/>
        <v>2.150659123582957</v>
      </c>
      <c r="AI49" s="85">
        <f t="shared" si="67"/>
        <v>-112.87090174310717</v>
      </c>
      <c r="AJ49" s="85">
        <f t="shared" si="68"/>
        <v>-197.71679843753878</v>
      </c>
      <c r="AK49" s="85">
        <f t="shared" si="69"/>
        <v>-115.67940522881894</v>
      </c>
      <c r="AL49" s="85">
        <f t="shared" si="70"/>
        <v>196.15994075910265</v>
      </c>
      <c r="AM49" s="97">
        <f t="shared" si="71"/>
        <v>226.03898733218247</v>
      </c>
      <c r="AN49" s="97">
        <f t="shared" si="72"/>
        <v>227.66592376702425</v>
      </c>
      <c r="AO49" s="105">
        <f t="shared" si="73"/>
        <v>227.72888958739506</v>
      </c>
      <c r="AP49" s="1"/>
      <c r="AQ49" s="191">
        <f t="shared" si="27"/>
        <v>795.4091050271273</v>
      </c>
      <c r="AR49" s="185">
        <f t="shared" si="28"/>
        <v>-347.82100702635415</v>
      </c>
      <c r="AS49" s="185">
        <f t="shared" si="29"/>
        <v>0</v>
      </c>
      <c r="AT49" s="185">
        <f t="shared" si="30"/>
        <v>0</v>
      </c>
      <c r="AU49" s="185">
        <f t="shared" si="31"/>
        <v>0</v>
      </c>
      <c r="AV49" s="185">
        <f t="shared" si="32"/>
        <v>0</v>
      </c>
      <c r="AW49" s="192">
        <f t="shared" si="33"/>
        <v>0.7954091050271274</v>
      </c>
      <c r="AX49" s="192">
        <f t="shared" si="34"/>
        <v>-0.34782100702635416</v>
      </c>
      <c r="AY49" s="193">
        <f t="shared" si="35"/>
        <v>0.8681331103516804</v>
      </c>
      <c r="BA49" s="199">
        <f t="shared" si="36"/>
        <v>1.5804077774777205</v>
      </c>
    </row>
    <row r="50" spans="1:53" ht="12">
      <c r="A50" s="49" t="s">
        <v>311</v>
      </c>
      <c r="B50" s="39" t="s">
        <v>2</v>
      </c>
      <c r="C50" s="39" t="s">
        <v>32</v>
      </c>
      <c r="D50" s="95" t="s">
        <v>100</v>
      </c>
      <c r="E50" s="137">
        <v>0.816</v>
      </c>
      <c r="F50" s="40">
        <v>0.92</v>
      </c>
      <c r="G50" s="40">
        <v>1</v>
      </c>
      <c r="H50" s="89">
        <f t="shared" si="74"/>
        <v>10</v>
      </c>
      <c r="I50" s="138">
        <v>30</v>
      </c>
      <c r="J50" s="39" t="s">
        <v>231</v>
      </c>
      <c r="K50" s="41">
        <v>4</v>
      </c>
      <c r="L50" s="40">
        <v>1</v>
      </c>
      <c r="M50" s="41" t="s">
        <v>245</v>
      </c>
      <c r="N50" s="39">
        <v>10</v>
      </c>
      <c r="O50" s="89">
        <f t="shared" si="55"/>
        <v>25</v>
      </c>
      <c r="P50" s="63">
        <f t="shared" si="56"/>
        <v>44</v>
      </c>
      <c r="Q50" s="88">
        <f t="shared" si="20"/>
        <v>91.2712854559276</v>
      </c>
      <c r="R50" s="29">
        <f t="shared" si="57"/>
        <v>3.6519118797875194</v>
      </c>
      <c r="S50" s="35">
        <f t="shared" si="4"/>
        <v>1.5813242301390873</v>
      </c>
      <c r="T50" s="85">
        <f t="shared" si="58"/>
        <v>0.816</v>
      </c>
      <c r="U50" s="85">
        <f t="shared" si="59"/>
        <v>0.3476145443671429</v>
      </c>
      <c r="V50" s="110">
        <f t="shared" si="60"/>
        <v>3.840634399391858</v>
      </c>
      <c r="W50" s="203">
        <f t="shared" si="8"/>
        <v>0</v>
      </c>
      <c r="X50" s="203">
        <f t="shared" si="9"/>
        <v>0</v>
      </c>
      <c r="Y50" s="203">
        <f t="shared" si="10"/>
        <v>-3.07024636509704</v>
      </c>
      <c r="Z50" s="203">
        <f t="shared" si="11"/>
        <v>-2.307392434632754</v>
      </c>
      <c r="AA50" s="203">
        <f t="shared" si="12"/>
        <v>0</v>
      </c>
      <c r="AB50" s="203">
        <f t="shared" si="13"/>
        <v>0</v>
      </c>
      <c r="AC50" s="85">
        <f t="shared" si="61"/>
        <v>-3.07024636509704</v>
      </c>
      <c r="AD50" s="85">
        <f t="shared" si="62"/>
        <v>-2.307392434632754</v>
      </c>
      <c r="AE50" s="85">
        <f t="shared" si="63"/>
        <v>3.8406343993918575</v>
      </c>
      <c r="AF50" s="205">
        <f t="shared" si="64"/>
        <v>0.05357142857142857</v>
      </c>
      <c r="AG50" s="85">
        <f t="shared" si="65"/>
        <v>226.40733264369442</v>
      </c>
      <c r="AH50" s="85">
        <f t="shared" si="66"/>
        <v>1.9893860738614042</v>
      </c>
      <c r="AI50" s="85">
        <f t="shared" si="67"/>
        <v>-112.5419467754182</v>
      </c>
      <c r="AJ50" s="85">
        <f t="shared" si="68"/>
        <v>-197.46957781954242</v>
      </c>
      <c r="AK50" s="85">
        <f t="shared" si="69"/>
        <v>-115.67940522881894</v>
      </c>
      <c r="AL50" s="85">
        <f t="shared" si="70"/>
        <v>196.15994075910265</v>
      </c>
      <c r="AM50" s="97">
        <f t="shared" si="71"/>
        <v>226.41607260038623</v>
      </c>
      <c r="AN50" s="97">
        <f t="shared" si="72"/>
        <v>227.2881957960628</v>
      </c>
      <c r="AO50" s="105">
        <f t="shared" si="73"/>
        <v>227.72888958739506</v>
      </c>
      <c r="AP50" s="1"/>
      <c r="AQ50" s="191">
        <f t="shared" si="27"/>
        <v>0</v>
      </c>
      <c r="AR50" s="185">
        <f t="shared" si="28"/>
        <v>0</v>
      </c>
      <c r="AS50" s="185">
        <f t="shared" si="29"/>
        <v>801.1713129391084</v>
      </c>
      <c r="AT50" s="185">
        <f t="shared" si="30"/>
        <v>-346.60181694925524</v>
      </c>
      <c r="AU50" s="185">
        <f t="shared" si="31"/>
        <v>0</v>
      </c>
      <c r="AV50" s="185">
        <f t="shared" si="32"/>
        <v>0</v>
      </c>
      <c r="AW50" s="192">
        <f t="shared" si="33"/>
        <v>0.8011713129391084</v>
      </c>
      <c r="AX50" s="192">
        <f t="shared" si="34"/>
        <v>-0.34660181694925524</v>
      </c>
      <c r="AY50" s="193">
        <f t="shared" si="35"/>
        <v>0.8729308633500708</v>
      </c>
      <c r="BA50" s="199">
        <f t="shared" si="36"/>
        <v>1.5804077774777199</v>
      </c>
    </row>
    <row r="51" spans="1:53" ht="12">
      <c r="A51" s="49" t="s">
        <v>312</v>
      </c>
      <c r="B51" s="39" t="s">
        <v>2</v>
      </c>
      <c r="C51" s="39" t="s">
        <v>33</v>
      </c>
      <c r="D51" s="95" t="s">
        <v>101</v>
      </c>
      <c r="E51" s="137">
        <v>0.816</v>
      </c>
      <c r="F51" s="40">
        <v>0.92</v>
      </c>
      <c r="G51" s="40">
        <v>1</v>
      </c>
      <c r="H51" s="89">
        <f t="shared" si="74"/>
        <v>10</v>
      </c>
      <c r="I51" s="138">
        <v>30</v>
      </c>
      <c r="J51" s="39" t="s">
        <v>232</v>
      </c>
      <c r="K51" s="41">
        <v>4</v>
      </c>
      <c r="L51" s="40">
        <v>1</v>
      </c>
      <c r="M51" s="41" t="s">
        <v>245</v>
      </c>
      <c r="N51" s="39">
        <v>10</v>
      </c>
      <c r="O51" s="89">
        <f t="shared" si="55"/>
        <v>25</v>
      </c>
      <c r="P51" s="63">
        <f t="shared" si="56"/>
        <v>44</v>
      </c>
      <c r="Q51" s="88">
        <f t="shared" si="20"/>
        <v>91.2712854559276</v>
      </c>
      <c r="R51" s="29">
        <f t="shared" si="57"/>
        <v>3.5882309688054193</v>
      </c>
      <c r="S51" s="35">
        <f t="shared" si="4"/>
        <v>1.5537495868157702</v>
      </c>
      <c r="T51" s="85">
        <f t="shared" si="58"/>
        <v>0.816</v>
      </c>
      <c r="U51" s="85">
        <f t="shared" si="59"/>
        <v>0.3476145443671429</v>
      </c>
      <c r="V51" s="110">
        <f t="shared" si="60"/>
        <v>3.840634399391858</v>
      </c>
      <c r="W51" s="203">
        <f t="shared" si="8"/>
        <v>0</v>
      </c>
      <c r="X51" s="203">
        <f t="shared" si="9"/>
        <v>0</v>
      </c>
      <c r="Y51" s="203">
        <f t="shared" si="10"/>
        <v>0</v>
      </c>
      <c r="Z51" s="203">
        <f t="shared" si="11"/>
        <v>0</v>
      </c>
      <c r="AA51" s="203">
        <f t="shared" si="12"/>
        <v>-0.463137282343468</v>
      </c>
      <c r="AB51" s="203">
        <f t="shared" si="13"/>
        <v>3.8126075653672467</v>
      </c>
      <c r="AC51" s="85">
        <f t="shared" si="61"/>
        <v>-0.463137282343468</v>
      </c>
      <c r="AD51" s="85">
        <f t="shared" si="62"/>
        <v>3.8126075653672467</v>
      </c>
      <c r="AE51" s="85">
        <f t="shared" si="63"/>
        <v>3.840634399391858</v>
      </c>
      <c r="AF51" s="205">
        <f t="shared" si="64"/>
        <v>0.05357142857142857</v>
      </c>
      <c r="AG51" s="85">
        <f t="shared" si="65"/>
        <v>226.40733264369442</v>
      </c>
      <c r="AH51" s="85">
        <f t="shared" si="66"/>
        <v>1.9893860738614042</v>
      </c>
      <c r="AI51" s="85">
        <f t="shared" si="67"/>
        <v>-112.87090174310717</v>
      </c>
      <c r="AJ51" s="85">
        <f t="shared" si="68"/>
        <v>-197.71679843753878</v>
      </c>
      <c r="AK51" s="85">
        <f t="shared" si="69"/>
        <v>-115.62978337713928</v>
      </c>
      <c r="AL51" s="85">
        <f t="shared" si="70"/>
        <v>195.75144709138473</v>
      </c>
      <c r="AM51" s="97">
        <f t="shared" si="71"/>
        <v>226.41607260038623</v>
      </c>
      <c r="AN51" s="97">
        <f t="shared" si="72"/>
        <v>227.66592376702425</v>
      </c>
      <c r="AO51" s="105">
        <f t="shared" si="73"/>
        <v>227.3518767070449</v>
      </c>
      <c r="AP51" s="1"/>
      <c r="AQ51" s="191">
        <f t="shared" si="27"/>
        <v>0</v>
      </c>
      <c r="AR51" s="185">
        <f t="shared" si="28"/>
        <v>0</v>
      </c>
      <c r="AS51" s="185">
        <f t="shared" si="29"/>
        <v>0</v>
      </c>
      <c r="AT51" s="185">
        <f t="shared" si="30"/>
        <v>0</v>
      </c>
      <c r="AU51" s="185">
        <f t="shared" si="31"/>
        <v>799.875911743452</v>
      </c>
      <c r="AV51" s="185">
        <f t="shared" si="32"/>
        <v>-350.19119366475195</v>
      </c>
      <c r="AW51" s="192">
        <f t="shared" si="33"/>
        <v>0.799875911743452</v>
      </c>
      <c r="AX51" s="192">
        <f t="shared" si="34"/>
        <v>-0.35019119366475193</v>
      </c>
      <c r="AY51" s="193">
        <f t="shared" si="35"/>
        <v>0.8731754384473731</v>
      </c>
      <c r="BA51" s="199">
        <f t="shared" si="36"/>
        <v>1.5804077774777203</v>
      </c>
    </row>
    <row r="52" spans="1:53" ht="12">
      <c r="A52" s="49" t="s">
        <v>313</v>
      </c>
      <c r="B52" s="39" t="s">
        <v>2</v>
      </c>
      <c r="C52" s="39" t="s">
        <v>34</v>
      </c>
      <c r="D52" s="95" t="s">
        <v>102</v>
      </c>
      <c r="E52" s="137">
        <v>0.816</v>
      </c>
      <c r="F52" s="40">
        <v>0.92</v>
      </c>
      <c r="G52" s="40">
        <v>1</v>
      </c>
      <c r="H52" s="89">
        <f t="shared" si="74"/>
        <v>10</v>
      </c>
      <c r="I52" s="138">
        <v>40</v>
      </c>
      <c r="J52" s="39" t="s">
        <v>230</v>
      </c>
      <c r="K52" s="41">
        <v>4</v>
      </c>
      <c r="L52" s="40">
        <v>1</v>
      </c>
      <c r="M52" s="41" t="s">
        <v>245</v>
      </c>
      <c r="N52" s="39">
        <v>10</v>
      </c>
      <c r="O52" s="89">
        <f t="shared" si="55"/>
        <v>25</v>
      </c>
      <c r="P52" s="63">
        <f t="shared" si="56"/>
        <v>44</v>
      </c>
      <c r="Q52" s="88">
        <f t="shared" si="20"/>
        <v>91.2712854559276</v>
      </c>
      <c r="R52" s="29">
        <f t="shared" si="57"/>
        <v>5.026788740327021</v>
      </c>
      <c r="S52" s="35">
        <f t="shared" si="4"/>
        <v>2.176663374290389</v>
      </c>
      <c r="T52" s="85">
        <f t="shared" si="58"/>
        <v>0.816</v>
      </c>
      <c r="U52" s="85">
        <f t="shared" si="59"/>
        <v>0.3476145443671429</v>
      </c>
      <c r="V52" s="110">
        <f t="shared" si="60"/>
        <v>3.840634399391858</v>
      </c>
      <c r="W52" s="203">
        <f t="shared" si="8"/>
        <v>3.53338364744051</v>
      </c>
      <c r="X52" s="203">
        <f t="shared" si="9"/>
        <v>-1.505215130734493</v>
      </c>
      <c r="Y52" s="203">
        <f t="shared" si="10"/>
        <v>0</v>
      </c>
      <c r="Z52" s="203">
        <f t="shared" si="11"/>
        <v>0</v>
      </c>
      <c r="AA52" s="203">
        <f t="shared" si="12"/>
        <v>0</v>
      </c>
      <c r="AB52" s="203">
        <f t="shared" si="13"/>
        <v>0</v>
      </c>
      <c r="AC52" s="85">
        <f t="shared" si="61"/>
        <v>3.53338364744051</v>
      </c>
      <c r="AD52" s="85">
        <f t="shared" si="62"/>
        <v>-1.505215130734493</v>
      </c>
      <c r="AE52" s="85">
        <f t="shared" si="63"/>
        <v>3.8406343993918584</v>
      </c>
      <c r="AF52" s="205">
        <f t="shared" si="64"/>
        <v>0.07142857142857142</v>
      </c>
      <c r="AG52" s="85">
        <f t="shared" si="65"/>
        <v>225.90256355120292</v>
      </c>
      <c r="AH52" s="85">
        <f t="shared" si="66"/>
        <v>2.204416806823475</v>
      </c>
      <c r="AI52" s="85">
        <f t="shared" si="67"/>
        <v>-112.87090174310717</v>
      </c>
      <c r="AJ52" s="85">
        <f t="shared" si="68"/>
        <v>-197.71679843753878</v>
      </c>
      <c r="AK52" s="85">
        <f t="shared" si="69"/>
        <v>-115.67940522881894</v>
      </c>
      <c r="AL52" s="85">
        <f t="shared" si="70"/>
        <v>196.15994075910265</v>
      </c>
      <c r="AM52" s="97">
        <f t="shared" si="71"/>
        <v>225.9133189355233</v>
      </c>
      <c r="AN52" s="97">
        <f t="shared" si="72"/>
        <v>227.66592376702425</v>
      </c>
      <c r="AO52" s="105">
        <f t="shared" si="73"/>
        <v>227.72888958739506</v>
      </c>
      <c r="AP52" s="1"/>
      <c r="AQ52" s="191">
        <f t="shared" si="27"/>
        <v>794.8823024346348</v>
      </c>
      <c r="AR52" s="185">
        <f t="shared" si="28"/>
        <v>-347.8210070263541</v>
      </c>
      <c r="AS52" s="185">
        <f t="shared" si="29"/>
        <v>0</v>
      </c>
      <c r="AT52" s="185">
        <f t="shared" si="30"/>
        <v>0</v>
      </c>
      <c r="AU52" s="185">
        <f t="shared" si="31"/>
        <v>0</v>
      </c>
      <c r="AV52" s="185">
        <f t="shared" si="32"/>
        <v>0</v>
      </c>
      <c r="AW52" s="192">
        <f t="shared" si="33"/>
        <v>0.7948823024346348</v>
      </c>
      <c r="AX52" s="192">
        <f t="shared" si="34"/>
        <v>-0.3478210070263541</v>
      </c>
      <c r="AY52" s="193">
        <f t="shared" si="35"/>
        <v>0.8676504639845548</v>
      </c>
      <c r="BA52" s="199">
        <f t="shared" si="36"/>
        <v>2.107210369970294</v>
      </c>
    </row>
    <row r="53" spans="1:53" ht="12">
      <c r="A53" s="49" t="s">
        <v>314</v>
      </c>
      <c r="B53" s="39" t="s">
        <v>2</v>
      </c>
      <c r="C53" s="39" t="s">
        <v>35</v>
      </c>
      <c r="D53" s="95" t="s">
        <v>103</v>
      </c>
      <c r="E53" s="137">
        <v>0.816</v>
      </c>
      <c r="F53" s="40">
        <v>0.92</v>
      </c>
      <c r="G53" s="40">
        <v>1</v>
      </c>
      <c r="H53" s="89">
        <f t="shared" si="74"/>
        <v>10</v>
      </c>
      <c r="I53" s="138">
        <v>40</v>
      </c>
      <c r="J53" s="39" t="s">
        <v>231</v>
      </c>
      <c r="K53" s="41">
        <v>4</v>
      </c>
      <c r="L53" s="40">
        <v>1</v>
      </c>
      <c r="M53" s="41" t="s">
        <v>245</v>
      </c>
      <c r="N53" s="39">
        <v>10</v>
      </c>
      <c r="O53" s="89">
        <f t="shared" si="55"/>
        <v>25</v>
      </c>
      <c r="P53" s="63">
        <f t="shared" si="56"/>
        <v>44</v>
      </c>
      <c r="Q53" s="88">
        <f t="shared" si="20"/>
        <v>91.2712854559276</v>
      </c>
      <c r="R53" s="29">
        <f t="shared" si="57"/>
        <v>3.777795132033134</v>
      </c>
      <c r="S53" s="35">
        <f t="shared" si="4"/>
        <v>1.6358332773169406</v>
      </c>
      <c r="T53" s="85">
        <f t="shared" si="58"/>
        <v>0.816</v>
      </c>
      <c r="U53" s="85">
        <f t="shared" si="59"/>
        <v>0.3476145443671429</v>
      </c>
      <c r="V53" s="110">
        <f t="shared" si="60"/>
        <v>3.840634399391858</v>
      </c>
      <c r="W53" s="203">
        <f t="shared" si="8"/>
        <v>0</v>
      </c>
      <c r="X53" s="203">
        <f t="shared" si="9"/>
        <v>0</v>
      </c>
      <c r="Y53" s="203">
        <f t="shared" si="10"/>
        <v>-3.07024636509704</v>
      </c>
      <c r="Z53" s="203">
        <f t="shared" si="11"/>
        <v>-2.307392434632754</v>
      </c>
      <c r="AA53" s="203">
        <f t="shared" si="12"/>
        <v>0</v>
      </c>
      <c r="AB53" s="203">
        <f t="shared" si="13"/>
        <v>0</v>
      </c>
      <c r="AC53" s="85">
        <f t="shared" si="61"/>
        <v>-3.07024636509704</v>
      </c>
      <c r="AD53" s="85">
        <f t="shared" si="62"/>
        <v>-2.307392434632754</v>
      </c>
      <c r="AE53" s="85">
        <f t="shared" si="63"/>
        <v>3.8406343993918575</v>
      </c>
      <c r="AF53" s="205">
        <f t="shared" si="64"/>
        <v>0.07142857142857142</v>
      </c>
      <c r="AG53" s="85">
        <f t="shared" si="65"/>
        <v>226.40733264369442</v>
      </c>
      <c r="AH53" s="85">
        <f t="shared" si="66"/>
        <v>1.9893860738614042</v>
      </c>
      <c r="AI53" s="85">
        <f t="shared" si="67"/>
        <v>-112.43229511952188</v>
      </c>
      <c r="AJ53" s="85">
        <f t="shared" si="68"/>
        <v>-197.38717094687695</v>
      </c>
      <c r="AK53" s="85">
        <f t="shared" si="69"/>
        <v>-115.67940522881894</v>
      </c>
      <c r="AL53" s="85">
        <f t="shared" si="70"/>
        <v>196.15994075910265</v>
      </c>
      <c r="AM53" s="97">
        <f t="shared" si="71"/>
        <v>226.41607260038623</v>
      </c>
      <c r="AN53" s="97">
        <f t="shared" si="72"/>
        <v>227.1623125438172</v>
      </c>
      <c r="AO53" s="105">
        <f t="shared" si="73"/>
        <v>227.72888958739506</v>
      </c>
      <c r="AP53" s="1"/>
      <c r="AQ53" s="191">
        <f t="shared" si="27"/>
        <v>0</v>
      </c>
      <c r="AR53" s="185">
        <f t="shared" si="28"/>
        <v>0</v>
      </c>
      <c r="AS53" s="185">
        <f t="shared" si="29"/>
        <v>800.6445103466158</v>
      </c>
      <c r="AT53" s="185">
        <f t="shared" si="30"/>
        <v>-346.6018169492551</v>
      </c>
      <c r="AU53" s="185">
        <f t="shared" si="31"/>
        <v>0</v>
      </c>
      <c r="AV53" s="185">
        <f t="shared" si="32"/>
        <v>0</v>
      </c>
      <c r="AW53" s="192">
        <f t="shared" si="33"/>
        <v>0.8006445103466158</v>
      </c>
      <c r="AX53" s="192">
        <f t="shared" si="34"/>
        <v>-0.3466018169492551</v>
      </c>
      <c r="AY53" s="193">
        <f t="shared" si="35"/>
        <v>0.8724473918011888</v>
      </c>
      <c r="BA53" s="199">
        <f t="shared" si="36"/>
        <v>2.1072103699702933</v>
      </c>
    </row>
    <row r="54" spans="1:53" ht="12">
      <c r="A54" s="49" t="s">
        <v>134</v>
      </c>
      <c r="B54" s="39" t="s">
        <v>2</v>
      </c>
      <c r="C54" s="39" t="s">
        <v>36</v>
      </c>
      <c r="D54" s="95" t="s">
        <v>104</v>
      </c>
      <c r="E54" s="137">
        <v>0.816</v>
      </c>
      <c r="F54" s="40">
        <v>0.92</v>
      </c>
      <c r="G54" s="40">
        <v>1</v>
      </c>
      <c r="H54" s="89">
        <f t="shared" si="74"/>
        <v>10</v>
      </c>
      <c r="I54" s="138">
        <v>40</v>
      </c>
      <c r="J54" s="39" t="s">
        <v>232</v>
      </c>
      <c r="K54" s="41">
        <v>4</v>
      </c>
      <c r="L54" s="40">
        <v>1</v>
      </c>
      <c r="M54" s="41" t="s">
        <v>245</v>
      </c>
      <c r="N54" s="39">
        <v>10</v>
      </c>
      <c r="O54" s="89">
        <f t="shared" si="55"/>
        <v>25</v>
      </c>
      <c r="P54" s="63">
        <f t="shared" si="56"/>
        <v>44</v>
      </c>
      <c r="Q54" s="88">
        <f t="shared" si="20"/>
        <v>91.2712854559276</v>
      </c>
      <c r="R54" s="29">
        <f t="shared" si="57"/>
        <v>3.7138753370252857</v>
      </c>
      <c r="S54" s="35">
        <f t="shared" si="4"/>
        <v>1.6081551941761956</v>
      </c>
      <c r="T54" s="85">
        <f t="shared" si="58"/>
        <v>0.816</v>
      </c>
      <c r="U54" s="85">
        <f t="shared" si="59"/>
        <v>0.3476145443671429</v>
      </c>
      <c r="V54" s="110">
        <f t="shared" si="60"/>
        <v>3.840634399391858</v>
      </c>
      <c r="W54" s="203">
        <f t="shared" si="8"/>
        <v>0</v>
      </c>
      <c r="X54" s="203">
        <f t="shared" si="9"/>
        <v>0</v>
      </c>
      <c r="Y54" s="203">
        <f t="shared" si="10"/>
        <v>0</v>
      </c>
      <c r="Z54" s="203">
        <f t="shared" si="11"/>
        <v>0</v>
      </c>
      <c r="AA54" s="203">
        <f t="shared" si="12"/>
        <v>-0.463137282343468</v>
      </c>
      <c r="AB54" s="203">
        <f t="shared" si="13"/>
        <v>3.8126075653672467</v>
      </c>
      <c r="AC54" s="85">
        <f t="shared" si="61"/>
        <v>-0.463137282343468</v>
      </c>
      <c r="AD54" s="85">
        <f t="shared" si="62"/>
        <v>3.8126075653672467</v>
      </c>
      <c r="AE54" s="85">
        <f t="shared" si="63"/>
        <v>3.840634399391858</v>
      </c>
      <c r="AF54" s="205">
        <f t="shared" si="64"/>
        <v>0.07142857142857142</v>
      </c>
      <c r="AG54" s="85">
        <f t="shared" si="65"/>
        <v>226.40733264369442</v>
      </c>
      <c r="AH54" s="85">
        <f t="shared" si="66"/>
        <v>1.9893860738614042</v>
      </c>
      <c r="AI54" s="85">
        <f t="shared" si="67"/>
        <v>-112.87090174310717</v>
      </c>
      <c r="AJ54" s="85">
        <f t="shared" si="68"/>
        <v>-197.71679843753878</v>
      </c>
      <c r="AK54" s="85">
        <f t="shared" si="69"/>
        <v>-115.61324275991272</v>
      </c>
      <c r="AL54" s="85">
        <f t="shared" si="70"/>
        <v>195.61528253547877</v>
      </c>
      <c r="AM54" s="97">
        <f t="shared" si="71"/>
        <v>226.41607260038623</v>
      </c>
      <c r="AN54" s="97">
        <f t="shared" si="72"/>
        <v>227.66592376702425</v>
      </c>
      <c r="AO54" s="105">
        <f t="shared" si="73"/>
        <v>227.22623233882504</v>
      </c>
      <c r="AP54" s="1"/>
      <c r="AQ54" s="191">
        <f t="shared" si="27"/>
        <v>0</v>
      </c>
      <c r="AR54" s="185">
        <f t="shared" si="28"/>
        <v>0</v>
      </c>
      <c r="AS54" s="185">
        <f t="shared" si="29"/>
        <v>0</v>
      </c>
      <c r="AT54" s="185">
        <f t="shared" si="30"/>
        <v>0</v>
      </c>
      <c r="AU54" s="185">
        <f t="shared" si="31"/>
        <v>799.3491091509594</v>
      </c>
      <c r="AV54" s="185">
        <f t="shared" si="32"/>
        <v>-350.19119366475195</v>
      </c>
      <c r="AW54" s="192">
        <f t="shared" si="33"/>
        <v>0.7993491091509594</v>
      </c>
      <c r="AX54" s="192">
        <f t="shared" si="34"/>
        <v>-0.35019119366475193</v>
      </c>
      <c r="AY54" s="193">
        <f t="shared" si="35"/>
        <v>0.872692884364698</v>
      </c>
      <c r="BA54" s="199">
        <f t="shared" si="36"/>
        <v>2.1072103699702938</v>
      </c>
    </row>
    <row r="55" spans="1:53" ht="12">
      <c r="A55" s="49" t="s">
        <v>135</v>
      </c>
      <c r="B55" s="39" t="s">
        <v>2</v>
      </c>
      <c r="C55" s="39" t="s">
        <v>37</v>
      </c>
      <c r="D55" s="95" t="s">
        <v>105</v>
      </c>
      <c r="E55" s="137">
        <v>0.816</v>
      </c>
      <c r="F55" s="40">
        <v>0.92</v>
      </c>
      <c r="G55" s="40">
        <v>1</v>
      </c>
      <c r="H55" s="89">
        <f t="shared" si="74"/>
        <v>10</v>
      </c>
      <c r="I55" s="138">
        <v>45</v>
      </c>
      <c r="J55" s="39" t="s">
        <v>230</v>
      </c>
      <c r="K55" s="41">
        <v>4</v>
      </c>
      <c r="L55" s="40">
        <v>1</v>
      </c>
      <c r="M55" s="41" t="s">
        <v>245</v>
      </c>
      <c r="N55" s="39">
        <v>10</v>
      </c>
      <c r="O55" s="89">
        <f t="shared" si="55"/>
        <v>25</v>
      </c>
      <c r="P55" s="63">
        <f t="shared" si="56"/>
        <v>44</v>
      </c>
      <c r="Q55" s="88">
        <f t="shared" si="20"/>
        <v>91.2712854559276</v>
      </c>
      <c r="R55" s="29">
        <f t="shared" si="57"/>
        <v>5.089617921234833</v>
      </c>
      <c r="S55" s="35">
        <f t="shared" si="4"/>
        <v>2.2038692076729554</v>
      </c>
      <c r="T55" s="85">
        <f t="shared" si="58"/>
        <v>0.816</v>
      </c>
      <c r="U55" s="85">
        <f t="shared" si="59"/>
        <v>0.3476145443671429</v>
      </c>
      <c r="V55" s="110">
        <f t="shared" si="60"/>
        <v>3.840634399391858</v>
      </c>
      <c r="W55" s="203">
        <f t="shared" si="8"/>
        <v>3.53338364744051</v>
      </c>
      <c r="X55" s="203">
        <f t="shared" si="9"/>
        <v>-1.505215130734493</v>
      </c>
      <c r="Y55" s="203">
        <f t="shared" si="10"/>
        <v>0</v>
      </c>
      <c r="Z55" s="203">
        <f t="shared" si="11"/>
        <v>0</v>
      </c>
      <c r="AA55" s="203">
        <f t="shared" si="12"/>
        <v>0</v>
      </c>
      <c r="AB55" s="203">
        <f t="shared" si="13"/>
        <v>0</v>
      </c>
      <c r="AC55" s="85">
        <f t="shared" si="61"/>
        <v>3.53338364744051</v>
      </c>
      <c r="AD55" s="85">
        <f t="shared" si="62"/>
        <v>-1.505215130734493</v>
      </c>
      <c r="AE55" s="85">
        <f t="shared" si="63"/>
        <v>3.8406343993918584</v>
      </c>
      <c r="AF55" s="205">
        <f t="shared" si="64"/>
        <v>0.08035714285714286</v>
      </c>
      <c r="AG55" s="85">
        <f t="shared" si="65"/>
        <v>225.8394674146415</v>
      </c>
      <c r="AH55" s="85">
        <f t="shared" si="66"/>
        <v>2.2312956484437336</v>
      </c>
      <c r="AI55" s="85">
        <f t="shared" si="67"/>
        <v>-112.87090174310717</v>
      </c>
      <c r="AJ55" s="85">
        <f t="shared" si="68"/>
        <v>-197.71679843753878</v>
      </c>
      <c r="AK55" s="85">
        <f t="shared" si="69"/>
        <v>-115.67940522881894</v>
      </c>
      <c r="AL55" s="85">
        <f t="shared" si="70"/>
        <v>196.15994075910265</v>
      </c>
      <c r="AM55" s="97">
        <f t="shared" si="71"/>
        <v>225.8504897546155</v>
      </c>
      <c r="AN55" s="97">
        <f t="shared" si="72"/>
        <v>227.66592376702425</v>
      </c>
      <c r="AO55" s="105">
        <f t="shared" si="73"/>
        <v>227.72888958739506</v>
      </c>
      <c r="AP55" s="1"/>
      <c r="AQ55" s="191">
        <f t="shared" si="27"/>
        <v>794.6189011383885</v>
      </c>
      <c r="AR55" s="185">
        <f t="shared" si="28"/>
        <v>-347.8210070263541</v>
      </c>
      <c r="AS55" s="185">
        <f t="shared" si="29"/>
        <v>0</v>
      </c>
      <c r="AT55" s="185">
        <f t="shared" si="30"/>
        <v>0</v>
      </c>
      <c r="AU55" s="185">
        <f t="shared" si="31"/>
        <v>0</v>
      </c>
      <c r="AV55" s="185">
        <f t="shared" si="32"/>
        <v>0</v>
      </c>
      <c r="AW55" s="192">
        <f t="shared" si="33"/>
        <v>0.7946189011383885</v>
      </c>
      <c r="AX55" s="192">
        <f t="shared" si="34"/>
        <v>-0.3478210070263541</v>
      </c>
      <c r="AY55" s="193">
        <f t="shared" si="35"/>
        <v>0.8674091600710746</v>
      </c>
      <c r="BA55" s="199">
        <f t="shared" si="36"/>
        <v>2.3706116662165813</v>
      </c>
    </row>
    <row r="56" spans="1:53" ht="12">
      <c r="A56" s="49" t="s">
        <v>136</v>
      </c>
      <c r="B56" s="39" t="s">
        <v>2</v>
      </c>
      <c r="C56" s="39" t="s">
        <v>38</v>
      </c>
      <c r="D56" s="95" t="s">
        <v>106</v>
      </c>
      <c r="E56" s="137">
        <v>0.112</v>
      </c>
      <c r="F56" s="40">
        <v>0.95</v>
      </c>
      <c r="G56" s="40">
        <v>1</v>
      </c>
      <c r="H56" s="89">
        <f t="shared" si="74"/>
        <v>10</v>
      </c>
      <c r="I56" s="138">
        <v>30</v>
      </c>
      <c r="J56" s="39" t="s">
        <v>231</v>
      </c>
      <c r="K56" s="41">
        <v>4</v>
      </c>
      <c r="L56" s="40">
        <v>1</v>
      </c>
      <c r="M56" s="41" t="s">
        <v>245</v>
      </c>
      <c r="N56" s="39">
        <v>6</v>
      </c>
      <c r="O56" s="89">
        <f t="shared" si="55"/>
        <v>25</v>
      </c>
      <c r="P56" s="63">
        <f t="shared" si="56"/>
        <v>32</v>
      </c>
      <c r="Q56" s="88">
        <f t="shared" si="20"/>
        <v>98.40469004566025</v>
      </c>
      <c r="R56" s="29">
        <f t="shared" si="57"/>
        <v>3.3606448891295315</v>
      </c>
      <c r="S56" s="35">
        <f t="shared" si="4"/>
        <v>1.4552019235422562</v>
      </c>
      <c r="T56" s="85">
        <f t="shared" si="58"/>
        <v>0.112</v>
      </c>
      <c r="U56" s="85">
        <f t="shared" si="59"/>
        <v>0.03681261978003268</v>
      </c>
      <c r="V56" s="110">
        <f t="shared" si="60"/>
        <v>0.5104991853887217</v>
      </c>
      <c r="W56" s="203">
        <f t="shared" si="8"/>
        <v>0</v>
      </c>
      <c r="X56" s="203">
        <f t="shared" si="9"/>
        <v>0</v>
      </c>
      <c r="Y56" s="203">
        <f t="shared" si="10"/>
        <v>-0.3805344372347652</v>
      </c>
      <c r="Z56" s="203">
        <f t="shared" si="11"/>
        <v>-0.3402983402265856</v>
      </c>
      <c r="AA56" s="203">
        <f t="shared" si="12"/>
        <v>0</v>
      </c>
      <c r="AB56" s="203">
        <f t="shared" si="13"/>
        <v>0</v>
      </c>
      <c r="AC56" s="85">
        <f t="shared" si="61"/>
        <v>-0.3805344372347652</v>
      </c>
      <c r="AD56" s="85">
        <f t="shared" si="62"/>
        <v>-0.3402983402265856</v>
      </c>
      <c r="AE56" s="85">
        <f t="shared" si="63"/>
        <v>0.5104991853887217</v>
      </c>
      <c r="AF56" s="205">
        <f t="shared" si="64"/>
        <v>0.08928571428571429</v>
      </c>
      <c r="AG56" s="85">
        <f t="shared" si="65"/>
        <v>226.40733264369442</v>
      </c>
      <c r="AH56" s="85">
        <f t="shared" si="66"/>
        <v>1.9893860738614042</v>
      </c>
      <c r="AI56" s="85">
        <f t="shared" si="67"/>
        <v>-112.80294916502953</v>
      </c>
      <c r="AJ56" s="85">
        <f t="shared" si="68"/>
        <v>-197.65603087678403</v>
      </c>
      <c r="AK56" s="85">
        <f t="shared" si="69"/>
        <v>-115.67940522881894</v>
      </c>
      <c r="AL56" s="85">
        <f t="shared" si="70"/>
        <v>196.15994075910265</v>
      </c>
      <c r="AM56" s="97">
        <f t="shared" si="71"/>
        <v>226.41607260038623</v>
      </c>
      <c r="AN56" s="97">
        <f t="shared" si="72"/>
        <v>227.5794627867208</v>
      </c>
      <c r="AO56" s="105">
        <f t="shared" si="73"/>
        <v>227.72888958739506</v>
      </c>
      <c r="AP56" s="1"/>
      <c r="AQ56" s="191">
        <f t="shared" si="27"/>
        <v>0</v>
      </c>
      <c r="AR56" s="185">
        <f t="shared" si="28"/>
        <v>0</v>
      </c>
      <c r="AS56" s="185">
        <f t="shared" si="29"/>
        <v>110.1874260220807</v>
      </c>
      <c r="AT56" s="185">
        <f t="shared" si="30"/>
        <v>-36.828270102230924</v>
      </c>
      <c r="AU56" s="185">
        <f t="shared" si="31"/>
        <v>0</v>
      </c>
      <c r="AV56" s="185">
        <f t="shared" si="32"/>
        <v>0</v>
      </c>
      <c r="AW56" s="192">
        <f t="shared" si="33"/>
        <v>0.1101874260220807</v>
      </c>
      <c r="AX56" s="192">
        <f t="shared" si="34"/>
        <v>-0.03682827010223092</v>
      </c>
      <c r="AY56" s="193">
        <f t="shared" si="35"/>
        <v>0.11617913036382388</v>
      </c>
      <c r="BA56" s="199">
        <f t="shared" si="36"/>
        <v>0.04653739612188366</v>
      </c>
    </row>
    <row r="57" spans="1:53" ht="12">
      <c r="A57" s="49" t="s">
        <v>137</v>
      </c>
      <c r="B57" s="39" t="s">
        <v>2</v>
      </c>
      <c r="C57" s="39" t="s">
        <v>39</v>
      </c>
      <c r="D57" s="95" t="s">
        <v>107</v>
      </c>
      <c r="E57" s="137">
        <v>0.112</v>
      </c>
      <c r="F57" s="40">
        <v>0.95</v>
      </c>
      <c r="G57" s="40">
        <v>1</v>
      </c>
      <c r="H57" s="89">
        <f t="shared" si="74"/>
        <v>10</v>
      </c>
      <c r="I57" s="138">
        <v>30</v>
      </c>
      <c r="J57" s="39" t="s">
        <v>232</v>
      </c>
      <c r="K57" s="41">
        <v>4</v>
      </c>
      <c r="L57" s="40">
        <v>1</v>
      </c>
      <c r="M57" s="41" t="s">
        <v>245</v>
      </c>
      <c r="N57" s="39">
        <v>6</v>
      </c>
      <c r="O57" s="89">
        <f t="shared" si="55"/>
        <v>25</v>
      </c>
      <c r="P57" s="63">
        <f t="shared" si="56"/>
        <v>32</v>
      </c>
      <c r="Q57" s="88">
        <f t="shared" si="20"/>
        <v>98.40469004566025</v>
      </c>
      <c r="R57" s="29">
        <f t="shared" si="57"/>
        <v>3.2975524058130077</v>
      </c>
      <c r="S57" s="35">
        <f t="shared" si="4"/>
        <v>1.4278820768722784</v>
      </c>
      <c r="T57" s="85">
        <f t="shared" si="58"/>
        <v>0.112</v>
      </c>
      <c r="U57" s="85">
        <f t="shared" si="59"/>
        <v>0.03681261978003268</v>
      </c>
      <c r="V57" s="110">
        <f t="shared" si="60"/>
        <v>0.5104991853887217</v>
      </c>
      <c r="W57" s="203">
        <f t="shared" si="8"/>
        <v>0</v>
      </c>
      <c r="X57" s="203">
        <f t="shared" si="9"/>
        <v>0</v>
      </c>
      <c r="Y57" s="203">
        <f t="shared" si="10"/>
        <v>0</v>
      </c>
      <c r="Z57" s="203">
        <f t="shared" si="11"/>
        <v>0</v>
      </c>
      <c r="AA57" s="203">
        <f t="shared" si="12"/>
        <v>-0.10443978888452016</v>
      </c>
      <c r="AB57" s="203">
        <f t="shared" si="13"/>
        <v>0.4997016597734146</v>
      </c>
      <c r="AC57" s="85">
        <f t="shared" si="61"/>
        <v>-0.10443978888452016</v>
      </c>
      <c r="AD57" s="85">
        <f t="shared" si="62"/>
        <v>0.4997016597734146</v>
      </c>
      <c r="AE57" s="85">
        <f t="shared" si="63"/>
        <v>0.5104991853887217</v>
      </c>
      <c r="AF57" s="205">
        <f t="shared" si="64"/>
        <v>0.08928571428571429</v>
      </c>
      <c r="AG57" s="85">
        <f t="shared" si="65"/>
        <v>226.40733264369442</v>
      </c>
      <c r="AH57" s="85">
        <f t="shared" si="66"/>
        <v>1.9893860738614042</v>
      </c>
      <c r="AI57" s="85">
        <f t="shared" si="67"/>
        <v>-112.87090174310717</v>
      </c>
      <c r="AJ57" s="85">
        <f t="shared" si="68"/>
        <v>-197.71679843753878</v>
      </c>
      <c r="AK57" s="85">
        <f t="shared" si="69"/>
        <v>-115.66075526651812</v>
      </c>
      <c r="AL57" s="85">
        <f t="shared" si="70"/>
        <v>196.0707083198574</v>
      </c>
      <c r="AM57" s="97">
        <f t="shared" si="71"/>
        <v>226.41607260038623</v>
      </c>
      <c r="AN57" s="97">
        <f t="shared" si="72"/>
        <v>227.66592376702425</v>
      </c>
      <c r="AO57" s="105">
        <f t="shared" si="73"/>
        <v>227.64255527003732</v>
      </c>
      <c r="AP57" s="1"/>
      <c r="AQ57" s="191">
        <f t="shared" si="27"/>
        <v>0</v>
      </c>
      <c r="AR57" s="185">
        <f t="shared" si="28"/>
        <v>0</v>
      </c>
      <c r="AS57" s="185">
        <f t="shared" si="29"/>
        <v>0</v>
      </c>
      <c r="AT57" s="185">
        <f t="shared" si="30"/>
        <v>0</v>
      </c>
      <c r="AU57" s="185">
        <f t="shared" si="31"/>
        <v>110.0564432426411</v>
      </c>
      <c r="AV57" s="185">
        <f t="shared" si="32"/>
        <v>-37.318287993961576</v>
      </c>
      <c r="AW57" s="192">
        <f t="shared" si="33"/>
        <v>0.11005644324264109</v>
      </c>
      <c r="AX57" s="192">
        <f t="shared" si="34"/>
        <v>-0.03731828799396158</v>
      </c>
      <c r="AY57" s="193">
        <f t="shared" si="35"/>
        <v>0.11621133902516113</v>
      </c>
      <c r="BA57" s="199">
        <f t="shared" si="36"/>
        <v>0.046537396121883665</v>
      </c>
    </row>
    <row r="58" spans="1:53" ht="12">
      <c r="A58" s="49" t="s">
        <v>138</v>
      </c>
      <c r="B58" s="39" t="s">
        <v>2</v>
      </c>
      <c r="C58" s="39" t="s">
        <v>40</v>
      </c>
      <c r="D58" s="95" t="s">
        <v>108</v>
      </c>
      <c r="E58" s="137">
        <v>0.112</v>
      </c>
      <c r="F58" s="40">
        <v>0.95</v>
      </c>
      <c r="G58" s="40">
        <v>1</v>
      </c>
      <c r="H58" s="89">
        <f t="shared" si="74"/>
        <v>10</v>
      </c>
      <c r="I58" s="138">
        <v>30</v>
      </c>
      <c r="J58" s="39" t="s">
        <v>230</v>
      </c>
      <c r="K58" s="41">
        <v>4</v>
      </c>
      <c r="L58" s="40">
        <v>1</v>
      </c>
      <c r="M58" s="41" t="s">
        <v>245</v>
      </c>
      <c r="N58" s="39">
        <v>6</v>
      </c>
      <c r="O58" s="89">
        <f t="shared" si="55"/>
        <v>25</v>
      </c>
      <c r="P58" s="63">
        <f t="shared" si="56"/>
        <v>32</v>
      </c>
      <c r="Q58" s="88">
        <f t="shared" si="20"/>
        <v>98.40469004566025</v>
      </c>
      <c r="R58" s="29">
        <f t="shared" si="57"/>
        <v>4.6103822817609625</v>
      </c>
      <c r="S58" s="35">
        <f t="shared" si="4"/>
        <v>1.9963540885813293</v>
      </c>
      <c r="T58" s="85">
        <f t="shared" si="58"/>
        <v>0.112</v>
      </c>
      <c r="U58" s="85">
        <f t="shared" si="59"/>
        <v>0.03681261978003268</v>
      </c>
      <c r="V58" s="110">
        <f t="shared" si="60"/>
        <v>0.5104991853887217</v>
      </c>
      <c r="W58" s="203">
        <f t="shared" si="8"/>
        <v>0.48497422611928565</v>
      </c>
      <c r="X58" s="203">
        <f t="shared" si="9"/>
        <v>-0.15940331954682907</v>
      </c>
      <c r="Y58" s="203">
        <f t="shared" si="10"/>
        <v>0</v>
      </c>
      <c r="Z58" s="203">
        <f t="shared" si="11"/>
        <v>0</v>
      </c>
      <c r="AA58" s="203">
        <f t="shared" si="12"/>
        <v>0</v>
      </c>
      <c r="AB58" s="203">
        <f t="shared" si="13"/>
        <v>0</v>
      </c>
      <c r="AC58" s="85">
        <f t="shared" si="61"/>
        <v>0.48497422611928565</v>
      </c>
      <c r="AD58" s="85">
        <f t="shared" si="62"/>
        <v>-0.15940331954682907</v>
      </c>
      <c r="AE58" s="85">
        <f t="shared" si="63"/>
        <v>0.5104991853887217</v>
      </c>
      <c r="AF58" s="205">
        <f t="shared" si="64"/>
        <v>0.08928571428571429</v>
      </c>
      <c r="AG58" s="85">
        <f t="shared" si="65"/>
        <v>226.32073010331598</v>
      </c>
      <c r="AH58" s="85">
        <f t="shared" si="66"/>
        <v>2.0178509523519095</v>
      </c>
      <c r="AI58" s="85">
        <f t="shared" si="67"/>
        <v>-112.87090174310717</v>
      </c>
      <c r="AJ58" s="85">
        <f t="shared" si="68"/>
        <v>-197.71679843753878</v>
      </c>
      <c r="AK58" s="85">
        <f t="shared" si="69"/>
        <v>-115.67940522881894</v>
      </c>
      <c r="AL58" s="85">
        <f t="shared" si="70"/>
        <v>196.15994075910265</v>
      </c>
      <c r="AM58" s="97">
        <f t="shared" si="71"/>
        <v>226.32972539408937</v>
      </c>
      <c r="AN58" s="97">
        <f t="shared" si="72"/>
        <v>227.66592376702425</v>
      </c>
      <c r="AO58" s="105">
        <f t="shared" si="73"/>
        <v>227.72888958739506</v>
      </c>
      <c r="AP58" s="1"/>
      <c r="AQ58" s="191">
        <f t="shared" si="27"/>
        <v>109.43806879645176</v>
      </c>
      <c r="AR58" s="185">
        <f t="shared" si="28"/>
        <v>-37.05488136477147</v>
      </c>
      <c r="AS58" s="185">
        <f t="shared" si="29"/>
        <v>0</v>
      </c>
      <c r="AT58" s="185">
        <f t="shared" si="30"/>
        <v>0</v>
      </c>
      <c r="AU58" s="185">
        <f t="shared" si="31"/>
        <v>0</v>
      </c>
      <c r="AV58" s="185">
        <f t="shared" si="32"/>
        <v>0</v>
      </c>
      <c r="AW58" s="192">
        <f t="shared" si="33"/>
        <v>0.10943806879645177</v>
      </c>
      <c r="AX58" s="192">
        <f t="shared" si="34"/>
        <v>-0.03705488136477147</v>
      </c>
      <c r="AY58" s="193">
        <f t="shared" si="35"/>
        <v>0.11554114044293572</v>
      </c>
      <c r="BA58" s="199">
        <f t="shared" si="36"/>
        <v>0.04653739612188366</v>
      </c>
    </row>
    <row r="59" spans="1:53" ht="12">
      <c r="A59" s="49" t="s">
        <v>139</v>
      </c>
      <c r="B59" s="39" t="s">
        <v>2</v>
      </c>
      <c r="C59" s="39" t="s">
        <v>41</v>
      </c>
      <c r="D59" s="95" t="s">
        <v>109</v>
      </c>
      <c r="E59" s="137">
        <v>0.112</v>
      </c>
      <c r="F59" s="40">
        <v>0.95</v>
      </c>
      <c r="G59" s="40">
        <v>1</v>
      </c>
      <c r="H59" s="89">
        <f t="shared" si="74"/>
        <v>10</v>
      </c>
      <c r="I59" s="138">
        <v>30</v>
      </c>
      <c r="J59" s="39" t="s">
        <v>231</v>
      </c>
      <c r="K59" s="41">
        <v>4</v>
      </c>
      <c r="L59" s="40">
        <v>1</v>
      </c>
      <c r="M59" s="41" t="s">
        <v>245</v>
      </c>
      <c r="N59" s="39">
        <v>6</v>
      </c>
      <c r="O59" s="89">
        <f t="shared" si="55"/>
        <v>25</v>
      </c>
      <c r="P59" s="63">
        <f t="shared" si="56"/>
        <v>32</v>
      </c>
      <c r="Q59" s="88">
        <f t="shared" si="20"/>
        <v>98.40469004566025</v>
      </c>
      <c r="R59" s="29">
        <f t="shared" si="57"/>
        <v>3.3606448891295315</v>
      </c>
      <c r="S59" s="35">
        <f t="shared" si="4"/>
        <v>1.4552019235422562</v>
      </c>
      <c r="T59" s="85">
        <f t="shared" si="58"/>
        <v>0.112</v>
      </c>
      <c r="U59" s="85">
        <f t="shared" si="59"/>
        <v>0.03681261978003268</v>
      </c>
      <c r="V59" s="110">
        <f t="shared" si="60"/>
        <v>0.5104991853887217</v>
      </c>
      <c r="W59" s="203">
        <f t="shared" si="8"/>
        <v>0</v>
      </c>
      <c r="X59" s="203">
        <f t="shared" si="9"/>
        <v>0</v>
      </c>
      <c r="Y59" s="203">
        <f t="shared" si="10"/>
        <v>-0.3805344372347652</v>
      </c>
      <c r="Z59" s="203">
        <f t="shared" si="11"/>
        <v>-0.3402983402265856</v>
      </c>
      <c r="AA59" s="203">
        <f t="shared" si="12"/>
        <v>0</v>
      </c>
      <c r="AB59" s="203">
        <f t="shared" si="13"/>
        <v>0</v>
      </c>
      <c r="AC59" s="85">
        <f t="shared" si="61"/>
        <v>-0.3805344372347652</v>
      </c>
      <c r="AD59" s="85">
        <f t="shared" si="62"/>
        <v>-0.3402983402265856</v>
      </c>
      <c r="AE59" s="85">
        <f t="shared" si="63"/>
        <v>0.5104991853887217</v>
      </c>
      <c r="AF59" s="205">
        <f t="shared" si="64"/>
        <v>0.08928571428571429</v>
      </c>
      <c r="AG59" s="85">
        <f t="shared" si="65"/>
        <v>226.40733264369442</v>
      </c>
      <c r="AH59" s="85">
        <f t="shared" si="66"/>
        <v>1.9893860738614042</v>
      </c>
      <c r="AI59" s="85">
        <f t="shared" si="67"/>
        <v>-112.80294916502953</v>
      </c>
      <c r="AJ59" s="85">
        <f t="shared" si="68"/>
        <v>-197.65603087678403</v>
      </c>
      <c r="AK59" s="85">
        <f t="shared" si="69"/>
        <v>-115.67940522881894</v>
      </c>
      <c r="AL59" s="85">
        <f t="shared" si="70"/>
        <v>196.15994075910265</v>
      </c>
      <c r="AM59" s="97">
        <f t="shared" si="71"/>
        <v>226.41607260038623</v>
      </c>
      <c r="AN59" s="97">
        <f t="shared" si="72"/>
        <v>227.5794627867208</v>
      </c>
      <c r="AO59" s="105">
        <f t="shared" si="73"/>
        <v>227.72888958739506</v>
      </c>
      <c r="AP59" s="1"/>
      <c r="AQ59" s="191">
        <f t="shared" si="27"/>
        <v>0</v>
      </c>
      <c r="AR59" s="185">
        <f t="shared" si="28"/>
        <v>0</v>
      </c>
      <c r="AS59" s="185">
        <f t="shared" si="29"/>
        <v>110.1874260220807</v>
      </c>
      <c r="AT59" s="185">
        <f t="shared" si="30"/>
        <v>-36.828270102230924</v>
      </c>
      <c r="AU59" s="185">
        <f t="shared" si="31"/>
        <v>0</v>
      </c>
      <c r="AV59" s="185">
        <f t="shared" si="32"/>
        <v>0</v>
      </c>
      <c r="AW59" s="192">
        <f t="shared" si="33"/>
        <v>0.1101874260220807</v>
      </c>
      <c r="AX59" s="192">
        <f t="shared" si="34"/>
        <v>-0.03682827010223092</v>
      </c>
      <c r="AY59" s="193">
        <f t="shared" si="35"/>
        <v>0.11617913036382388</v>
      </c>
      <c r="BA59" s="199">
        <f t="shared" si="36"/>
        <v>0.04653739612188366</v>
      </c>
    </row>
    <row r="60" spans="1:53" ht="12">
      <c r="A60" s="49" t="s">
        <v>140</v>
      </c>
      <c r="B60" s="39" t="s">
        <v>2</v>
      </c>
      <c r="C60" s="39" t="s">
        <v>42</v>
      </c>
      <c r="D60" s="95" t="s">
        <v>110</v>
      </c>
      <c r="E60" s="137">
        <v>0.112</v>
      </c>
      <c r="F60" s="40">
        <v>0.95</v>
      </c>
      <c r="G60" s="40">
        <v>1</v>
      </c>
      <c r="H60" s="89">
        <f t="shared" si="74"/>
        <v>10</v>
      </c>
      <c r="I60" s="138">
        <v>45</v>
      </c>
      <c r="J60" s="39" t="s">
        <v>232</v>
      </c>
      <c r="K60" s="41">
        <v>4</v>
      </c>
      <c r="L60" s="40">
        <v>1</v>
      </c>
      <c r="M60" s="41" t="s">
        <v>245</v>
      </c>
      <c r="N60" s="39">
        <v>6</v>
      </c>
      <c r="O60" s="89">
        <f t="shared" si="55"/>
        <v>25</v>
      </c>
      <c r="P60" s="63">
        <f t="shared" si="56"/>
        <v>32</v>
      </c>
      <c r="Q60" s="88">
        <f t="shared" si="20"/>
        <v>98.40469004566025</v>
      </c>
      <c r="R60" s="29">
        <f t="shared" si="57"/>
        <v>3.3407181530728565</v>
      </c>
      <c r="S60" s="35">
        <f t="shared" si="4"/>
        <v>1.4465733937224623</v>
      </c>
      <c r="T60" s="85">
        <f t="shared" si="58"/>
        <v>0.112</v>
      </c>
      <c r="U60" s="85">
        <f t="shared" si="59"/>
        <v>0.03681261978003268</v>
      </c>
      <c r="V60" s="110">
        <f t="shared" si="60"/>
        <v>0.5104991853887217</v>
      </c>
      <c r="W60" s="203">
        <f t="shared" si="8"/>
        <v>0</v>
      </c>
      <c r="X60" s="203">
        <f t="shared" si="9"/>
        <v>0</v>
      </c>
      <c r="Y60" s="203">
        <f t="shared" si="10"/>
        <v>0</v>
      </c>
      <c r="Z60" s="203">
        <f t="shared" si="11"/>
        <v>0</v>
      </c>
      <c r="AA60" s="203">
        <f t="shared" si="12"/>
        <v>-0.10443978888452016</v>
      </c>
      <c r="AB60" s="203">
        <f t="shared" si="13"/>
        <v>0.4997016597734146</v>
      </c>
      <c r="AC60" s="85">
        <f t="shared" si="61"/>
        <v>-0.10443978888452016</v>
      </c>
      <c r="AD60" s="85">
        <f t="shared" si="62"/>
        <v>0.4997016597734146</v>
      </c>
      <c r="AE60" s="85">
        <f t="shared" si="63"/>
        <v>0.5104991853887217</v>
      </c>
      <c r="AF60" s="205">
        <f t="shared" si="64"/>
        <v>0.13392857142857142</v>
      </c>
      <c r="AG60" s="85">
        <f t="shared" si="65"/>
        <v>226.40733264369442</v>
      </c>
      <c r="AH60" s="85">
        <f t="shared" si="66"/>
        <v>1.9893860738614042</v>
      </c>
      <c r="AI60" s="85">
        <f t="shared" si="67"/>
        <v>-112.87090174310717</v>
      </c>
      <c r="AJ60" s="85">
        <f t="shared" si="68"/>
        <v>-197.71679843753878</v>
      </c>
      <c r="AK60" s="85">
        <f t="shared" si="69"/>
        <v>-115.65143028536772</v>
      </c>
      <c r="AL60" s="85">
        <f t="shared" si="70"/>
        <v>196.02609210023476</v>
      </c>
      <c r="AM60" s="97">
        <f t="shared" si="71"/>
        <v>226.41607260038623</v>
      </c>
      <c r="AN60" s="97">
        <f t="shared" si="72"/>
        <v>227.66592376702425</v>
      </c>
      <c r="AO60" s="105">
        <f t="shared" si="73"/>
        <v>227.59938952277747</v>
      </c>
      <c r="AP60" s="1"/>
      <c r="AQ60" s="191">
        <f t="shared" si="27"/>
        <v>0</v>
      </c>
      <c r="AR60" s="185">
        <f t="shared" si="28"/>
        <v>0</v>
      </c>
      <c r="AS60" s="185">
        <f t="shared" si="29"/>
        <v>0</v>
      </c>
      <c r="AT60" s="185">
        <f t="shared" si="30"/>
        <v>0</v>
      </c>
      <c r="AU60" s="185">
        <f t="shared" si="31"/>
        <v>110.03317454458015</v>
      </c>
      <c r="AV60" s="185">
        <f t="shared" si="32"/>
        <v>-37.318287993961576</v>
      </c>
      <c r="AW60" s="192">
        <f t="shared" si="33"/>
        <v>0.11003317454458014</v>
      </c>
      <c r="AX60" s="192">
        <f t="shared" si="34"/>
        <v>-0.03731828799396158</v>
      </c>
      <c r="AY60" s="193">
        <f t="shared" si="35"/>
        <v>0.11618930294634827</v>
      </c>
      <c r="BA60" s="199">
        <f t="shared" si="36"/>
        <v>0.06980609418282549</v>
      </c>
    </row>
    <row r="61" spans="1:53" ht="12">
      <c r="A61" s="49" t="s">
        <v>141</v>
      </c>
      <c r="B61" s="39" t="s">
        <v>2</v>
      </c>
      <c r="C61" s="39" t="s">
        <v>43</v>
      </c>
      <c r="D61" s="95" t="s">
        <v>111</v>
      </c>
      <c r="E61" s="137">
        <v>0.112</v>
      </c>
      <c r="F61" s="40">
        <v>0.95</v>
      </c>
      <c r="G61" s="40">
        <v>1</v>
      </c>
      <c r="H61" s="89">
        <f t="shared" si="74"/>
        <v>10</v>
      </c>
      <c r="I61" s="138">
        <v>45</v>
      </c>
      <c r="J61" s="39" t="s">
        <v>230</v>
      </c>
      <c r="K61" s="41">
        <v>4</v>
      </c>
      <c r="L61" s="40">
        <v>1</v>
      </c>
      <c r="M61" s="41" t="s">
        <v>245</v>
      </c>
      <c r="N61" s="39">
        <v>6</v>
      </c>
      <c r="O61" s="89">
        <f t="shared" si="55"/>
        <v>25</v>
      </c>
      <c r="P61" s="63">
        <f t="shared" si="56"/>
        <v>32</v>
      </c>
      <c r="Q61" s="88">
        <f t="shared" si="20"/>
        <v>98.40469004566025</v>
      </c>
      <c r="R61" s="29">
        <f t="shared" si="57"/>
        <v>4.653554468990194</v>
      </c>
      <c r="S61" s="35">
        <f t="shared" si="4"/>
        <v>2.0150481940200557</v>
      </c>
      <c r="T61" s="85">
        <f t="shared" si="58"/>
        <v>0.112</v>
      </c>
      <c r="U61" s="85">
        <f t="shared" si="59"/>
        <v>0.03681261978003268</v>
      </c>
      <c r="V61" s="110">
        <f t="shared" si="60"/>
        <v>0.5104991853887217</v>
      </c>
      <c r="W61" s="203">
        <f t="shared" si="8"/>
        <v>0.48497422611928565</v>
      </c>
      <c r="X61" s="203">
        <f t="shared" si="9"/>
        <v>-0.15940331954682907</v>
      </c>
      <c r="Y61" s="203">
        <f t="shared" si="10"/>
        <v>0</v>
      </c>
      <c r="Z61" s="203">
        <f t="shared" si="11"/>
        <v>0</v>
      </c>
      <c r="AA61" s="203">
        <f t="shared" si="12"/>
        <v>0</v>
      </c>
      <c r="AB61" s="203">
        <f t="shared" si="13"/>
        <v>0</v>
      </c>
      <c r="AC61" s="85">
        <f t="shared" si="61"/>
        <v>0.48497422611928565</v>
      </c>
      <c r="AD61" s="85">
        <f t="shared" si="62"/>
        <v>-0.15940331954682907</v>
      </c>
      <c r="AE61" s="85">
        <f t="shared" si="63"/>
        <v>0.5104991853887217</v>
      </c>
      <c r="AF61" s="205">
        <f t="shared" si="64"/>
        <v>0.13392857142857142</v>
      </c>
      <c r="AG61" s="85">
        <f t="shared" si="65"/>
        <v>226.27742883312675</v>
      </c>
      <c r="AH61" s="85">
        <f t="shared" si="66"/>
        <v>2.032083391597162</v>
      </c>
      <c r="AI61" s="85">
        <f t="shared" si="67"/>
        <v>-112.87090174310717</v>
      </c>
      <c r="AJ61" s="85">
        <f t="shared" si="68"/>
        <v>-197.71679843753878</v>
      </c>
      <c r="AK61" s="85">
        <f t="shared" si="69"/>
        <v>-115.67940522881894</v>
      </c>
      <c r="AL61" s="85">
        <f t="shared" si="70"/>
        <v>196.15994075910265</v>
      </c>
      <c r="AM61" s="97">
        <f t="shared" si="71"/>
        <v>226.28655320686013</v>
      </c>
      <c r="AN61" s="97">
        <f t="shared" si="72"/>
        <v>227.66592376702425</v>
      </c>
      <c r="AO61" s="105">
        <f t="shared" si="73"/>
        <v>227.72888958739506</v>
      </c>
      <c r="AP61" s="1"/>
      <c r="AQ61" s="191">
        <f t="shared" si="27"/>
        <v>109.41480009839081</v>
      </c>
      <c r="AR61" s="185">
        <f t="shared" si="28"/>
        <v>-37.05488136477146</v>
      </c>
      <c r="AS61" s="185">
        <f t="shared" si="29"/>
        <v>0</v>
      </c>
      <c r="AT61" s="185">
        <f t="shared" si="30"/>
        <v>0</v>
      </c>
      <c r="AU61" s="185">
        <f t="shared" si="31"/>
        <v>0</v>
      </c>
      <c r="AV61" s="185">
        <f t="shared" si="32"/>
        <v>0</v>
      </c>
      <c r="AW61" s="192">
        <f t="shared" si="33"/>
        <v>0.10941480009839082</v>
      </c>
      <c r="AX61" s="192">
        <f t="shared" si="34"/>
        <v>-0.03705488136477146</v>
      </c>
      <c r="AY61" s="193">
        <f t="shared" si="35"/>
        <v>0.11551910107652374</v>
      </c>
      <c r="BA61" s="199">
        <f t="shared" si="36"/>
        <v>0.06980609418282548</v>
      </c>
    </row>
    <row r="62" spans="1:53" ht="12">
      <c r="A62" s="49" t="s">
        <v>142</v>
      </c>
      <c r="B62" s="39" t="s">
        <v>2</v>
      </c>
      <c r="C62" s="39" t="s">
        <v>44</v>
      </c>
      <c r="D62" s="95" t="s">
        <v>112</v>
      </c>
      <c r="E62" s="137">
        <v>0.112</v>
      </c>
      <c r="F62" s="40">
        <v>0.95</v>
      </c>
      <c r="G62" s="40">
        <v>1</v>
      </c>
      <c r="H62" s="89">
        <f t="shared" si="74"/>
        <v>10</v>
      </c>
      <c r="I62" s="138">
        <v>45</v>
      </c>
      <c r="J62" s="39" t="s">
        <v>231</v>
      </c>
      <c r="K62" s="41">
        <v>4</v>
      </c>
      <c r="L62" s="40">
        <v>1</v>
      </c>
      <c r="M62" s="41" t="s">
        <v>245</v>
      </c>
      <c r="N62" s="39">
        <v>6</v>
      </c>
      <c r="O62" s="89">
        <f t="shared" si="55"/>
        <v>25</v>
      </c>
      <c r="P62" s="63">
        <f t="shared" si="56"/>
        <v>32</v>
      </c>
      <c r="Q62" s="88">
        <f t="shared" si="20"/>
        <v>98.40469004566025</v>
      </c>
      <c r="R62" s="29">
        <f t="shared" si="57"/>
        <v>3.4038740035418016</v>
      </c>
      <c r="S62" s="35">
        <f t="shared" si="4"/>
        <v>1.4739206791743211</v>
      </c>
      <c r="T62" s="85">
        <f t="shared" si="58"/>
        <v>0.112</v>
      </c>
      <c r="U62" s="85">
        <f t="shared" si="59"/>
        <v>0.03681261978003268</v>
      </c>
      <c r="V62" s="110">
        <f t="shared" si="60"/>
        <v>0.5104991853887217</v>
      </c>
      <c r="W62" s="203">
        <f t="shared" si="8"/>
        <v>0</v>
      </c>
      <c r="X62" s="203">
        <f t="shared" si="9"/>
        <v>0</v>
      </c>
      <c r="Y62" s="203">
        <f t="shared" si="10"/>
        <v>-0.3805344372347652</v>
      </c>
      <c r="Z62" s="203">
        <f t="shared" si="11"/>
        <v>-0.3402983402265856</v>
      </c>
      <c r="AA62" s="203">
        <f t="shared" si="12"/>
        <v>0</v>
      </c>
      <c r="AB62" s="203">
        <f t="shared" si="13"/>
        <v>0</v>
      </c>
      <c r="AC62" s="85">
        <f t="shared" si="61"/>
        <v>-0.3805344372347652</v>
      </c>
      <c r="AD62" s="85">
        <f t="shared" si="62"/>
        <v>-0.3402983402265856</v>
      </c>
      <c r="AE62" s="85">
        <f t="shared" si="63"/>
        <v>0.5104991853887217</v>
      </c>
      <c r="AF62" s="205">
        <f t="shared" si="64"/>
        <v>0.13392857142857142</v>
      </c>
      <c r="AG62" s="85">
        <f t="shared" si="65"/>
        <v>226.40733264369442</v>
      </c>
      <c r="AH62" s="85">
        <f t="shared" si="66"/>
        <v>1.9893860738614042</v>
      </c>
      <c r="AI62" s="85">
        <f t="shared" si="67"/>
        <v>-112.76897287599071</v>
      </c>
      <c r="AJ62" s="85">
        <f t="shared" si="68"/>
        <v>-197.62564709640665</v>
      </c>
      <c r="AK62" s="85">
        <f t="shared" si="69"/>
        <v>-115.67940522881894</v>
      </c>
      <c r="AL62" s="85">
        <f t="shared" si="70"/>
        <v>196.15994075910265</v>
      </c>
      <c r="AM62" s="97">
        <f t="shared" si="71"/>
        <v>226.41607260038623</v>
      </c>
      <c r="AN62" s="97">
        <f t="shared" si="72"/>
        <v>227.53623367230853</v>
      </c>
      <c r="AO62" s="105">
        <f t="shared" si="73"/>
        <v>227.72888958739506</v>
      </c>
      <c r="AP62" s="1"/>
      <c r="AQ62" s="191">
        <f t="shared" si="27"/>
        <v>0</v>
      </c>
      <c r="AR62" s="185">
        <f t="shared" si="28"/>
        <v>0</v>
      </c>
      <c r="AS62" s="185">
        <f t="shared" si="29"/>
        <v>110.16415732401977</v>
      </c>
      <c r="AT62" s="185">
        <f t="shared" si="30"/>
        <v>-36.82827010223092</v>
      </c>
      <c r="AU62" s="185">
        <f t="shared" si="31"/>
        <v>0</v>
      </c>
      <c r="AV62" s="185">
        <f t="shared" si="32"/>
        <v>0</v>
      </c>
      <c r="AW62" s="192">
        <f t="shared" si="33"/>
        <v>0.11016415732401977</v>
      </c>
      <c r="AX62" s="192">
        <f t="shared" si="34"/>
        <v>-0.036828270102230914</v>
      </c>
      <c r="AY62" s="193">
        <f t="shared" si="35"/>
        <v>0.11615706193613135</v>
      </c>
      <c r="BA62" s="199">
        <f t="shared" si="36"/>
        <v>0.06980609418282548</v>
      </c>
    </row>
    <row r="63" spans="1:53" ht="12">
      <c r="A63" s="49" t="s">
        <v>143</v>
      </c>
      <c r="B63" s="39" t="s">
        <v>2</v>
      </c>
      <c r="C63" s="39" t="s">
        <v>45</v>
      </c>
      <c r="D63" s="95" t="s">
        <v>113</v>
      </c>
      <c r="E63" s="137">
        <v>0.112</v>
      </c>
      <c r="F63" s="40">
        <v>0.95</v>
      </c>
      <c r="G63" s="40">
        <v>1</v>
      </c>
      <c r="H63" s="89">
        <f t="shared" si="74"/>
        <v>10</v>
      </c>
      <c r="I63" s="138">
        <v>45</v>
      </c>
      <c r="J63" s="39" t="s">
        <v>232</v>
      </c>
      <c r="K63" s="41">
        <v>4</v>
      </c>
      <c r="L63" s="40">
        <v>1</v>
      </c>
      <c r="M63" s="41" t="s">
        <v>245</v>
      </c>
      <c r="N63" s="39">
        <v>6</v>
      </c>
      <c r="O63" s="89">
        <f t="shared" si="55"/>
        <v>25</v>
      </c>
      <c r="P63" s="63">
        <f t="shared" si="56"/>
        <v>32</v>
      </c>
      <c r="Q63" s="88">
        <f t="shared" si="20"/>
        <v>98.40469004566025</v>
      </c>
      <c r="R63" s="29">
        <f t="shared" si="57"/>
        <v>3.3407181530728565</v>
      </c>
      <c r="S63" s="35">
        <f t="shared" si="4"/>
        <v>1.4465733937224623</v>
      </c>
      <c r="T63" s="85">
        <f t="shared" si="58"/>
        <v>0.112</v>
      </c>
      <c r="U63" s="85">
        <f t="shared" si="59"/>
        <v>0.03681261978003268</v>
      </c>
      <c r="V63" s="110">
        <f t="shared" si="60"/>
        <v>0.5104991853887217</v>
      </c>
      <c r="W63" s="203">
        <f t="shared" si="8"/>
        <v>0</v>
      </c>
      <c r="X63" s="203">
        <f t="shared" si="9"/>
        <v>0</v>
      </c>
      <c r="Y63" s="203">
        <f t="shared" si="10"/>
        <v>0</v>
      </c>
      <c r="Z63" s="203">
        <f t="shared" si="11"/>
        <v>0</v>
      </c>
      <c r="AA63" s="203">
        <f t="shared" si="12"/>
        <v>-0.10443978888452016</v>
      </c>
      <c r="AB63" s="203">
        <f t="shared" si="13"/>
        <v>0.4997016597734146</v>
      </c>
      <c r="AC63" s="85">
        <f t="shared" si="61"/>
        <v>-0.10443978888452016</v>
      </c>
      <c r="AD63" s="85">
        <f t="shared" si="62"/>
        <v>0.4997016597734146</v>
      </c>
      <c r="AE63" s="85">
        <f t="shared" si="63"/>
        <v>0.5104991853887217</v>
      </c>
      <c r="AF63" s="205">
        <f t="shared" si="64"/>
        <v>0.13392857142857142</v>
      </c>
      <c r="AG63" s="85">
        <f t="shared" si="65"/>
        <v>226.40733264369442</v>
      </c>
      <c r="AH63" s="85">
        <f t="shared" si="66"/>
        <v>1.9893860738614042</v>
      </c>
      <c r="AI63" s="85">
        <f t="shared" si="67"/>
        <v>-112.87090174310717</v>
      </c>
      <c r="AJ63" s="85">
        <f t="shared" si="68"/>
        <v>-197.71679843753878</v>
      </c>
      <c r="AK63" s="85">
        <f t="shared" si="69"/>
        <v>-115.65143028536772</v>
      </c>
      <c r="AL63" s="85">
        <f t="shared" si="70"/>
        <v>196.02609210023476</v>
      </c>
      <c r="AM63" s="97">
        <f t="shared" si="71"/>
        <v>226.41607260038623</v>
      </c>
      <c r="AN63" s="97">
        <f t="shared" si="72"/>
        <v>227.66592376702425</v>
      </c>
      <c r="AO63" s="105">
        <f t="shared" si="73"/>
        <v>227.59938952277747</v>
      </c>
      <c r="AP63" s="1"/>
      <c r="AQ63" s="191">
        <f t="shared" si="27"/>
        <v>0</v>
      </c>
      <c r="AR63" s="185">
        <f t="shared" si="28"/>
        <v>0</v>
      </c>
      <c r="AS63" s="185">
        <f t="shared" si="29"/>
        <v>0</v>
      </c>
      <c r="AT63" s="185">
        <f t="shared" si="30"/>
        <v>0</v>
      </c>
      <c r="AU63" s="185">
        <f t="shared" si="31"/>
        <v>110.03317454458015</v>
      </c>
      <c r="AV63" s="185">
        <f t="shared" si="32"/>
        <v>-37.318287993961576</v>
      </c>
      <c r="AW63" s="192">
        <f t="shared" si="33"/>
        <v>0.11003317454458014</v>
      </c>
      <c r="AX63" s="192">
        <f t="shared" si="34"/>
        <v>-0.03731828799396158</v>
      </c>
      <c r="AY63" s="193">
        <f t="shared" si="35"/>
        <v>0.11618930294634827</v>
      </c>
      <c r="BA63" s="199">
        <f t="shared" si="36"/>
        <v>0.06980609418282549</v>
      </c>
    </row>
    <row r="64" spans="1:53" ht="12">
      <c r="A64" s="49" t="s">
        <v>144</v>
      </c>
      <c r="B64" s="39" t="s">
        <v>2</v>
      </c>
      <c r="C64" s="39" t="s">
        <v>46</v>
      </c>
      <c r="D64" s="95" t="s">
        <v>114</v>
      </c>
      <c r="E64" s="137">
        <v>1.55</v>
      </c>
      <c r="F64" s="40">
        <v>0.9</v>
      </c>
      <c r="G64" s="40">
        <v>1</v>
      </c>
      <c r="H64" s="89">
        <f t="shared" si="74"/>
        <v>10</v>
      </c>
      <c r="I64" s="138">
        <v>20</v>
      </c>
      <c r="J64" s="39" t="s">
        <v>230</v>
      </c>
      <c r="K64" s="41">
        <v>4</v>
      </c>
      <c r="L64" s="40">
        <v>1</v>
      </c>
      <c r="M64" s="41" t="s">
        <v>245</v>
      </c>
      <c r="N64" s="39">
        <v>10</v>
      </c>
      <c r="O64" s="89">
        <f t="shared" si="55"/>
        <v>25</v>
      </c>
      <c r="P64" s="63">
        <f t="shared" si="56"/>
        <v>44</v>
      </c>
      <c r="Q64" s="88">
        <f t="shared" si="20"/>
        <v>83.05127050674395</v>
      </c>
      <c r="R64" s="29">
        <f t="shared" si="57"/>
        <v>5.001259731560708</v>
      </c>
      <c r="S64" s="35">
        <f t="shared" si="4"/>
        <v>2.1656089892278576</v>
      </c>
      <c r="T64" s="85">
        <f t="shared" si="58"/>
        <v>1.55</v>
      </c>
      <c r="U64" s="85">
        <f t="shared" si="59"/>
        <v>0.7506992624986715</v>
      </c>
      <c r="V64" s="110">
        <f t="shared" si="60"/>
        <v>7.457440977032665</v>
      </c>
      <c r="W64" s="203">
        <f t="shared" si="8"/>
        <v>6.7116968793293985</v>
      </c>
      <c r="X64" s="203">
        <f t="shared" si="9"/>
        <v>-3.2506231596304604</v>
      </c>
      <c r="Y64" s="203">
        <f t="shared" si="10"/>
        <v>0</v>
      </c>
      <c r="Z64" s="203">
        <f t="shared" si="11"/>
        <v>0</v>
      </c>
      <c r="AA64" s="203">
        <f t="shared" si="12"/>
        <v>0</v>
      </c>
      <c r="AB64" s="203">
        <f t="shared" si="13"/>
        <v>0</v>
      </c>
      <c r="AC64" s="85">
        <f t="shared" si="61"/>
        <v>6.7116968793293985</v>
      </c>
      <c r="AD64" s="85">
        <f t="shared" si="62"/>
        <v>-3.2506231596304604</v>
      </c>
      <c r="AE64" s="85">
        <f t="shared" si="63"/>
        <v>7.457440977032665</v>
      </c>
      <c r="AF64" s="205">
        <f t="shared" si="64"/>
        <v>0.03571428571428571</v>
      </c>
      <c r="AG64" s="85">
        <f t="shared" si="65"/>
        <v>225.9279257237423</v>
      </c>
      <c r="AH64" s="85">
        <f t="shared" si="66"/>
        <v>2.221573442406437</v>
      </c>
      <c r="AI64" s="85">
        <f t="shared" si="67"/>
        <v>-112.87090174310717</v>
      </c>
      <c r="AJ64" s="85">
        <f t="shared" si="68"/>
        <v>-197.71679843753878</v>
      </c>
      <c r="AK64" s="85">
        <f t="shared" si="69"/>
        <v>-115.67940522881894</v>
      </c>
      <c r="AL64" s="85">
        <f t="shared" si="70"/>
        <v>196.15994075910265</v>
      </c>
      <c r="AM64" s="97">
        <f t="shared" si="71"/>
        <v>225.93884794428962</v>
      </c>
      <c r="AN64" s="97">
        <f t="shared" si="72"/>
        <v>227.66592376702425</v>
      </c>
      <c r="AO64" s="105">
        <f t="shared" si="73"/>
        <v>227.72888958739506</v>
      </c>
      <c r="AP64" s="1"/>
      <c r="AQ64" s="191">
        <f t="shared" si="27"/>
        <v>1509.138255950699</v>
      </c>
      <c r="AR64" s="185">
        <f t="shared" si="28"/>
        <v>-749.3170753054676</v>
      </c>
      <c r="AS64" s="185">
        <f t="shared" si="29"/>
        <v>0</v>
      </c>
      <c r="AT64" s="185">
        <f t="shared" si="30"/>
        <v>0</v>
      </c>
      <c r="AU64" s="185">
        <f t="shared" si="31"/>
        <v>0</v>
      </c>
      <c r="AV64" s="185">
        <f t="shared" si="32"/>
        <v>0</v>
      </c>
      <c r="AW64" s="192">
        <f t="shared" si="33"/>
        <v>1.509138255950699</v>
      </c>
      <c r="AX64" s="192">
        <f t="shared" si="34"/>
        <v>-0.7493170753054677</v>
      </c>
      <c r="AY64" s="193">
        <f t="shared" si="35"/>
        <v>1.6849256229632978</v>
      </c>
      <c r="BA64" s="199">
        <f t="shared" si="36"/>
        <v>3.9723875661375647</v>
      </c>
    </row>
    <row r="65" spans="1:53" ht="12">
      <c r="A65" s="49" t="s">
        <v>145</v>
      </c>
      <c r="B65" s="39" t="str">
        <f>C20</f>
        <v>CAJAS MEGA</v>
      </c>
      <c r="C65" s="39" t="s">
        <v>47</v>
      </c>
      <c r="D65" s="95" t="s">
        <v>115</v>
      </c>
      <c r="E65" s="137">
        <v>0.05</v>
      </c>
      <c r="F65" s="40">
        <v>0.98</v>
      </c>
      <c r="G65" s="40">
        <v>1</v>
      </c>
      <c r="H65" s="89">
        <f>VLOOKUP(AE65,Protecciones,2)</f>
        <v>10</v>
      </c>
      <c r="I65" s="138">
        <v>60</v>
      </c>
      <c r="J65" s="39" t="s">
        <v>232</v>
      </c>
      <c r="K65" s="41">
        <v>5</v>
      </c>
      <c r="L65" s="40">
        <v>1</v>
      </c>
      <c r="M65" s="41" t="s">
        <v>245</v>
      </c>
      <c r="N65" s="39">
        <v>2.5</v>
      </c>
      <c r="O65" s="89">
        <f>IF(I65,VLOOKUP(N65,TUBOS,IF(OR(J65="RST",J65=""),3,2)),"")</f>
        <v>20</v>
      </c>
      <c r="P65" s="63">
        <f>IF(I65,VLOOKUP(N65,Imax_RBT,K65+1)*L65,"")</f>
        <v>21</v>
      </c>
      <c r="Q65" s="88">
        <f t="shared" si="20"/>
        <v>98.94797691474193</v>
      </c>
      <c r="R65" s="29">
        <f>IF(J65="R",$S$8-AM65+$S$9,IF(J65="S",$S$8-AN65+$S$9,IF(J65="T",$S$8-AO65+$S$9,$S$8-MIN(AM65:AO65)+$S$9)))</f>
        <v>3.3535149912605107</v>
      </c>
      <c r="S65" s="35">
        <f t="shared" si="4"/>
        <v>1.452114587201776</v>
      </c>
      <c r="T65" s="85">
        <f>IF(ISBLANK(E65),SUMIF(INI,C65,POT_RESULT),E65*G65)</f>
        <v>0.05</v>
      </c>
      <c r="U65" s="85">
        <f>IF(ISBLANK(E65),"",TAN(ACOS(F65))*T65)</f>
        <v>0.010152933031700211</v>
      </c>
      <c r="V65" s="110">
        <f>IF(ISBLANK(J65),"",G65*IF(J65="RST",E65*1000/SQRT(3)/$S$7/F65,E65*1000/$S$8/F65))</f>
        <v>0.22092484790419353</v>
      </c>
      <c r="W65" s="203">
        <f t="shared" si="8"/>
        <v>0</v>
      </c>
      <c r="X65" s="203">
        <f t="shared" si="9"/>
        <v>0</v>
      </c>
      <c r="Y65" s="203">
        <f t="shared" si="10"/>
        <v>0</v>
      </c>
      <c r="Z65" s="203">
        <f t="shared" si="11"/>
        <v>0</v>
      </c>
      <c r="AA65" s="203">
        <f t="shared" si="12"/>
        <v>-0.070179676604179</v>
      </c>
      <c r="AB65" s="203">
        <f t="shared" si="13"/>
        <v>0.20948174482093637</v>
      </c>
      <c r="AC65" s="85">
        <f>W65+Y65+AA65</f>
        <v>-0.070179676604179</v>
      </c>
      <c r="AD65" s="85">
        <f>X65+Z65+AB65</f>
        <v>0.20948174482093637</v>
      </c>
      <c r="AE65" s="85">
        <f>MAX(SQRT(W65^2+X65^2),SQRT(Y65^2+Z65^2),SQRT(AA65^2+AB65^2),SQRT(AC65^2+AD65^2))</f>
        <v>0.22092484790419353</v>
      </c>
      <c r="AF65" s="205">
        <f>IF(OR(M65=0,N65=0),0,IF(M65="Cu",I65/56/N65,I65/35/N65))</f>
        <v>0.42857142857142855</v>
      </c>
      <c r="AG65" s="85">
        <f>SUMIF(FIN,$B65,ac_R_Re)-IF(W65*X65&lt;&gt;0,$AF65*(W65+AC65))</f>
        <v>227.47627673965525</v>
      </c>
      <c r="AH65" s="85">
        <f>SUMIF(FIN,$B65,ac_R_Im)-IF(W65*X65&lt;&gt;0,$AF65*(X65+AD65))</f>
        <v>1.4967376954071223</v>
      </c>
      <c r="AI65" s="85">
        <f>SUMIF(FIN,B65,ac_S_Re)-IF(Y65*Z65&lt;&gt;0,$AF65*(Y65+AC65))</f>
        <v>-112.8408813203222</v>
      </c>
      <c r="AJ65" s="85">
        <f>SUMIF(FIN,B65,ac_S_Im)-IF(Y65*Z65&lt;&gt;0,AF65*(Z65+AD65))</f>
        <v>-198.1108814640961</v>
      </c>
      <c r="AK65" s="85">
        <f>SUMIF(FIN,B65,ac_T_Re)-IF(AA65*AB65&lt;&gt;0,AF65*(AA65+AC65))</f>
        <v>-115.30527190428522</v>
      </c>
      <c r="AL65" s="85">
        <f>SUMIF(FIN,B65,ac_T_Im)-IF(AA65*AB65&lt;&gt;0,AF65*(AB65+AD65))</f>
        <v>196.215064255679</v>
      </c>
      <c r="AM65" s="97">
        <f>IF($K$10="Sí",SQRT(AG65^2+AH65^2),0)</f>
        <v>227.48120076847027</v>
      </c>
      <c r="AN65" s="97">
        <f>IF($L$10="Sí",SQRT(AI65^2+AJ65^2),0)</f>
        <v>227.99338992968237</v>
      </c>
      <c r="AO65" s="105">
        <f>IF($M$10="Sí",SQRT(AK65^2+AL65^2),0)</f>
        <v>227.58659268458982</v>
      </c>
      <c r="AP65" s="1"/>
      <c r="AQ65" s="191">
        <f t="shared" si="27"/>
        <v>0</v>
      </c>
      <c r="AR65" s="185">
        <f t="shared" si="28"/>
        <v>0</v>
      </c>
      <c r="AS65" s="185">
        <f t="shared" si="29"/>
        <v>0</v>
      </c>
      <c r="AT65" s="185">
        <f t="shared" si="30"/>
        <v>0</v>
      </c>
      <c r="AU65" s="185">
        <f t="shared" si="31"/>
        <v>49.19556071343145</v>
      </c>
      <c r="AV65" s="185">
        <f t="shared" si="32"/>
        <v>-10.384039791230405</v>
      </c>
      <c r="AW65" s="192">
        <f t="shared" si="33"/>
        <v>0.049195560713431445</v>
      </c>
      <c r="AX65" s="192">
        <f t="shared" si="34"/>
        <v>-0.010384039791230405</v>
      </c>
      <c r="AY65" s="193">
        <f t="shared" si="35"/>
        <v>0.050279533373876646</v>
      </c>
      <c r="BA65" s="199">
        <f t="shared" si="36"/>
        <v>0.0418352472184209</v>
      </c>
    </row>
    <row r="66" spans="1:53" ht="12">
      <c r="A66" s="49" t="s">
        <v>146</v>
      </c>
      <c r="B66" s="39" t="str">
        <f>B65</f>
        <v>CAJAS MEGA</v>
      </c>
      <c r="C66" s="39" t="s">
        <v>48</v>
      </c>
      <c r="D66" s="95" t="s">
        <v>116</v>
      </c>
      <c r="E66" s="137">
        <v>0.03</v>
      </c>
      <c r="F66" s="40">
        <v>0.98</v>
      </c>
      <c r="G66" s="40">
        <v>1</v>
      </c>
      <c r="H66" s="89">
        <f aca="true" t="shared" si="95" ref="H66:H79">VLOOKUP(AE66,Protecciones,2)</f>
        <v>10</v>
      </c>
      <c r="I66" s="138">
        <v>60</v>
      </c>
      <c r="J66" s="39" t="s">
        <v>230</v>
      </c>
      <c r="K66" s="41">
        <v>5</v>
      </c>
      <c r="L66" s="40">
        <v>1</v>
      </c>
      <c r="M66" s="41" t="s">
        <v>245</v>
      </c>
      <c r="N66" s="39">
        <v>2.5</v>
      </c>
      <c r="O66" s="89">
        <f aca="true" t="shared" si="96" ref="O66:O73">IF(I66,VLOOKUP(N66,TUBOS,IF(OR(J66="RST",J66=""),3,2)),"")</f>
        <v>20</v>
      </c>
      <c r="P66" s="63">
        <f aca="true" t="shared" si="97" ref="P66:P73">IF(I66,VLOOKUP(N66,Imax_RBT,K66+1)*L66,"")</f>
        <v>21</v>
      </c>
      <c r="Q66" s="88">
        <f t="shared" si="20"/>
        <v>99.36878614884516</v>
      </c>
      <c r="R66" s="29">
        <f aca="true" t="shared" si="98" ref="R66:R73">IF(J66="R",$S$8-AM66+$S$9,IF(J66="S",$S$8-AN66+$S$9,IF(J66="T",$S$8-AO66+$S$9,$S$8-MIN(AM66:AO66)+$S$9)))</f>
        <v>3.570100658751045</v>
      </c>
      <c r="S66" s="35">
        <f t="shared" si="4"/>
        <v>1.5458989322729817</v>
      </c>
      <c r="T66" s="85">
        <f aca="true" t="shared" si="99" ref="T66:T73">IF(ISBLANK(E66),SUMIF(INI,C66,POT_RESULT),E66*G66)</f>
        <v>0.03</v>
      </c>
      <c r="U66" s="85">
        <f aca="true" t="shared" si="100" ref="U66:U73">IF(ISBLANK(E66),"",TAN(ACOS(F66))*T66)</f>
        <v>0.0060917598190201264</v>
      </c>
      <c r="V66" s="110">
        <f aca="true" t="shared" si="101" ref="V66:V73">IF(ISBLANK(J66),"",G66*IF(J66="RST",E66*1000/SQRT(3)/$S$7/F66,E66*1000/$S$8/F66))</f>
        <v>0.1325549087425161</v>
      </c>
      <c r="W66" s="203">
        <f t="shared" si="8"/>
        <v>0.12990381056766578</v>
      </c>
      <c r="X66" s="203">
        <f t="shared" si="9"/>
        <v>-0.026378093785123614</v>
      </c>
      <c r="Y66" s="203">
        <f t="shared" si="10"/>
        <v>0</v>
      </c>
      <c r="Z66" s="203">
        <f t="shared" si="11"/>
        <v>0</v>
      </c>
      <c r="AA66" s="203">
        <f t="shared" si="12"/>
        <v>0</v>
      </c>
      <c r="AB66" s="203">
        <f t="shared" si="13"/>
        <v>0</v>
      </c>
      <c r="AC66" s="85">
        <f aca="true" t="shared" si="102" ref="AC66:AC73">W66+Y66+AA66</f>
        <v>0.12990381056766578</v>
      </c>
      <c r="AD66" s="85">
        <f aca="true" t="shared" si="103" ref="AD66:AD73">X66+Z66+AB66</f>
        <v>-0.026378093785123614</v>
      </c>
      <c r="AE66" s="85">
        <f aca="true" t="shared" si="104" ref="AE66:AE73">MAX(SQRT(W66^2+X66^2),SQRT(Y66^2+Z66^2),SQRT(AA66^2+AB66^2),SQRT(AC66^2+AD66^2))</f>
        <v>0.13255490874251613</v>
      </c>
      <c r="AF66" s="205">
        <f aca="true" t="shared" si="105" ref="AF66:AF73">IF(OR(M66=0,N66=0),0,IF(M66="Cu",I66/56/N66,I66/35/N66))</f>
        <v>0.42857142857142855</v>
      </c>
      <c r="AG66" s="85">
        <f aca="true" t="shared" si="106" ref="AG66:AG73">SUMIF(FIN,$B66,ac_R_Re)-IF(W66*X66&lt;&gt;0,$AF66*(W66+AC66))</f>
        <v>227.36493061631154</v>
      </c>
      <c r="AH66" s="85">
        <f aca="true" t="shared" si="107" ref="AH66:AH73">SUMIF(FIN,$B66,ac_R_Im)-IF(W66*X66&lt;&gt;0,$AF66*(X66+AD66))</f>
        <v>1.5193474900800854</v>
      </c>
      <c r="AI66" s="85">
        <f aca="true" t="shared" si="108" ref="AI66:AI73">SUMIF(FIN,B66,ac_S_Re)-IF(Y66*Z66&lt;&gt;0,$AF66*(Y66+AC66))</f>
        <v>-112.8408813203222</v>
      </c>
      <c r="AJ66" s="85">
        <f aca="true" t="shared" si="109" ref="AJ66:AJ73">SUMIF(FIN,B66,ac_S_Im)-IF(Y66*Z66&lt;&gt;0,AF66*(Z66+AD66))</f>
        <v>-198.1108814640961</v>
      </c>
      <c r="AK66" s="85">
        <f aca="true" t="shared" si="110" ref="AK66:AK73">SUMIF(FIN,B66,ac_T_Re)-IF(AA66*AB66&lt;&gt;0,AF66*(AA66+AC66))</f>
        <v>-115.36542591280309</v>
      </c>
      <c r="AL66" s="85">
        <f aca="true" t="shared" si="111" ref="AL66:AL73">SUMIF(FIN,B66,ac_T_Im)-IF(AA66*AB66&lt;&gt;0,AF66*(AB66+AD66))</f>
        <v>196.3946200369541</v>
      </c>
      <c r="AM66" s="97">
        <f aca="true" t="shared" si="112" ref="AM66:AM73">IF($K$10="Sí",SQRT(AG66^2+AH66^2),0)</f>
        <v>227.37000701709928</v>
      </c>
      <c r="AN66" s="97">
        <f aca="true" t="shared" si="113" ref="AN66:AN73">IF($L$10="Sí",SQRT(AI66^2+AJ66^2),0)</f>
        <v>227.99338992968237</v>
      </c>
      <c r="AO66" s="105">
        <f aca="true" t="shared" si="114" ref="AO66:AO73">IF($M$10="Sí",SQRT(AK66^2+AL66^2),0)</f>
        <v>227.77187770991844</v>
      </c>
      <c r="AP66" s="1"/>
      <c r="AQ66" s="191">
        <f t="shared" si="27"/>
        <v>29.495493385926284</v>
      </c>
      <c r="AR66" s="185">
        <f t="shared" si="28"/>
        <v>-6.194822491783011</v>
      </c>
      <c r="AS66" s="185">
        <f t="shared" si="29"/>
        <v>0</v>
      </c>
      <c r="AT66" s="185">
        <f t="shared" si="30"/>
        <v>0</v>
      </c>
      <c r="AU66" s="185">
        <f t="shared" si="31"/>
        <v>0</v>
      </c>
      <c r="AV66" s="185">
        <f t="shared" si="32"/>
        <v>0</v>
      </c>
      <c r="AW66" s="192">
        <f t="shared" si="33"/>
        <v>0.029495493385926285</v>
      </c>
      <c r="AX66" s="192">
        <f t="shared" si="34"/>
        <v>-0.006194822491783011</v>
      </c>
      <c r="AY66" s="193">
        <f t="shared" si="35"/>
        <v>0.030139010530936844</v>
      </c>
      <c r="BA66" s="199">
        <f t="shared" si="36"/>
        <v>0.015060688998631522</v>
      </c>
    </row>
    <row r="67" spans="1:53" ht="12">
      <c r="A67" s="49" t="s">
        <v>147</v>
      </c>
      <c r="B67" s="39" t="str">
        <f aca="true" t="shared" si="115" ref="B67:B83">B66</f>
        <v>CAJAS MEGA</v>
      </c>
      <c r="C67" s="39" t="s">
        <v>49</v>
      </c>
      <c r="D67" s="95" t="s">
        <v>117</v>
      </c>
      <c r="E67" s="137">
        <v>0.03</v>
      </c>
      <c r="F67" s="40">
        <v>0.98</v>
      </c>
      <c r="G67" s="40">
        <v>1</v>
      </c>
      <c r="H67" s="89">
        <f t="shared" si="95"/>
        <v>10</v>
      </c>
      <c r="I67" s="138">
        <v>60</v>
      </c>
      <c r="J67" s="39" t="s">
        <v>231</v>
      </c>
      <c r="K67" s="41">
        <v>5</v>
      </c>
      <c r="L67" s="40">
        <v>1</v>
      </c>
      <c r="M67" s="41" t="s">
        <v>245</v>
      </c>
      <c r="N67" s="39">
        <v>2.5</v>
      </c>
      <c r="O67" s="89">
        <f t="shared" si="96"/>
        <v>20</v>
      </c>
      <c r="P67" s="63">
        <f t="shared" si="97"/>
        <v>21</v>
      </c>
      <c r="Q67" s="88">
        <f t="shared" si="20"/>
        <v>99.36878614884516</v>
      </c>
      <c r="R67" s="29">
        <f t="shared" si="98"/>
        <v>3.057928651692322</v>
      </c>
      <c r="S67" s="35">
        <f t="shared" si="4"/>
        <v>1.3241219476629236</v>
      </c>
      <c r="T67" s="85">
        <f t="shared" si="99"/>
        <v>0.03</v>
      </c>
      <c r="U67" s="85">
        <f t="shared" si="100"/>
        <v>0.0060917598190201264</v>
      </c>
      <c r="V67" s="110">
        <f t="shared" si="101"/>
        <v>0.1325549087425161</v>
      </c>
      <c r="W67" s="203">
        <f t="shared" si="8"/>
        <v>0</v>
      </c>
      <c r="X67" s="203">
        <f t="shared" si="9"/>
        <v>0</v>
      </c>
      <c r="Y67" s="203">
        <f t="shared" si="10"/>
        <v>-0.08779600460515835</v>
      </c>
      <c r="Z67" s="203">
        <f t="shared" si="11"/>
        <v>-0.09931095310743818</v>
      </c>
      <c r="AA67" s="203">
        <f t="shared" si="12"/>
        <v>0</v>
      </c>
      <c r="AB67" s="203">
        <f t="shared" si="13"/>
        <v>0</v>
      </c>
      <c r="AC67" s="85">
        <f t="shared" si="102"/>
        <v>-0.08779600460515835</v>
      </c>
      <c r="AD67" s="85">
        <f t="shared" si="103"/>
        <v>-0.09931095310743818</v>
      </c>
      <c r="AE67" s="85">
        <f t="shared" si="104"/>
        <v>0.1325549087425161</v>
      </c>
      <c r="AF67" s="205">
        <f t="shared" si="105"/>
        <v>0.42857142857142855</v>
      </c>
      <c r="AG67" s="85">
        <f t="shared" si="106"/>
        <v>227.47627673965525</v>
      </c>
      <c r="AH67" s="85">
        <f t="shared" si="107"/>
        <v>1.4967376954071223</v>
      </c>
      <c r="AI67" s="85">
        <f t="shared" si="108"/>
        <v>-112.76562760208921</v>
      </c>
      <c r="AJ67" s="85">
        <f t="shared" si="109"/>
        <v>-198.025757790004</v>
      </c>
      <c r="AK67" s="85">
        <f t="shared" si="110"/>
        <v>-115.36542591280309</v>
      </c>
      <c r="AL67" s="85">
        <f t="shared" si="111"/>
        <v>196.3946200369541</v>
      </c>
      <c r="AM67" s="97">
        <f t="shared" si="112"/>
        <v>227.48120076847027</v>
      </c>
      <c r="AN67" s="97">
        <f t="shared" si="113"/>
        <v>227.882179024158</v>
      </c>
      <c r="AO67" s="105">
        <f t="shared" si="114"/>
        <v>227.77187770991844</v>
      </c>
      <c r="AP67" s="1"/>
      <c r="AQ67" s="191">
        <f t="shared" si="27"/>
        <v>0</v>
      </c>
      <c r="AR67" s="185">
        <f t="shared" si="28"/>
        <v>0</v>
      </c>
      <c r="AS67" s="185">
        <f t="shared" si="29"/>
        <v>29.566498306204593</v>
      </c>
      <c r="AT67" s="185">
        <f t="shared" si="30"/>
        <v>-6.187008387949247</v>
      </c>
      <c r="AU67" s="185">
        <f t="shared" si="31"/>
        <v>0</v>
      </c>
      <c r="AV67" s="185">
        <f t="shared" si="32"/>
        <v>0</v>
      </c>
      <c r="AW67" s="192">
        <f t="shared" si="33"/>
        <v>0.029566498306204593</v>
      </c>
      <c r="AX67" s="192">
        <f t="shared" si="34"/>
        <v>-0.006187008387949246</v>
      </c>
      <c r="AY67" s="193">
        <f t="shared" si="35"/>
        <v>0.03020690144459298</v>
      </c>
      <c r="BA67" s="199">
        <f t="shared" si="36"/>
        <v>0.015060688998631519</v>
      </c>
    </row>
    <row r="68" spans="1:53" ht="12">
      <c r="A68" s="49" t="s">
        <v>148</v>
      </c>
      <c r="B68" s="39" t="str">
        <f t="shared" si="115"/>
        <v>CAJAS MEGA</v>
      </c>
      <c r="C68" s="39" t="s">
        <v>50</v>
      </c>
      <c r="D68" s="95" t="s">
        <v>118</v>
      </c>
      <c r="E68" s="137">
        <v>0.05</v>
      </c>
      <c r="F68" s="40">
        <v>0.98</v>
      </c>
      <c r="G68" s="40">
        <v>1</v>
      </c>
      <c r="H68" s="89">
        <f t="shared" si="95"/>
        <v>10</v>
      </c>
      <c r="I68" s="138">
        <v>55</v>
      </c>
      <c r="J68" s="39" t="s">
        <v>232</v>
      </c>
      <c r="K68" s="41">
        <v>5</v>
      </c>
      <c r="L68" s="40">
        <v>1</v>
      </c>
      <c r="M68" s="41" t="s">
        <v>245</v>
      </c>
      <c r="N68" s="39">
        <v>2.5</v>
      </c>
      <c r="O68" s="89">
        <f t="shared" si="96"/>
        <v>20</v>
      </c>
      <c r="P68" s="63">
        <f t="shared" si="97"/>
        <v>21</v>
      </c>
      <c r="Q68" s="88">
        <f t="shared" si="20"/>
        <v>98.94797691474193</v>
      </c>
      <c r="R68" s="29">
        <f t="shared" si="98"/>
        <v>3.3380748289412168</v>
      </c>
      <c r="S68" s="35">
        <f t="shared" si="4"/>
        <v>1.445428800798244</v>
      </c>
      <c r="T68" s="85">
        <f t="shared" si="99"/>
        <v>0.05</v>
      </c>
      <c r="U68" s="85">
        <f t="shared" si="100"/>
        <v>0.010152933031700211</v>
      </c>
      <c r="V68" s="110">
        <f t="shared" si="101"/>
        <v>0.22092484790419353</v>
      </c>
      <c r="W68" s="203">
        <f t="shared" si="8"/>
        <v>0</v>
      </c>
      <c r="X68" s="203">
        <f t="shared" si="9"/>
        <v>0</v>
      </c>
      <c r="Y68" s="203">
        <f t="shared" si="10"/>
        <v>0</v>
      </c>
      <c r="Z68" s="203">
        <f t="shared" si="11"/>
        <v>0</v>
      </c>
      <c r="AA68" s="203">
        <f t="shared" si="12"/>
        <v>-0.070179676604179</v>
      </c>
      <c r="AB68" s="203">
        <f t="shared" si="13"/>
        <v>0.20948174482093637</v>
      </c>
      <c r="AC68" s="85">
        <f t="shared" si="102"/>
        <v>-0.070179676604179</v>
      </c>
      <c r="AD68" s="85">
        <f t="shared" si="103"/>
        <v>0.20948174482093637</v>
      </c>
      <c r="AE68" s="85">
        <f t="shared" si="104"/>
        <v>0.22092484790419353</v>
      </c>
      <c r="AF68" s="205">
        <f t="shared" si="105"/>
        <v>0.39285714285714285</v>
      </c>
      <c r="AG68" s="85">
        <f t="shared" si="106"/>
        <v>227.47627673965525</v>
      </c>
      <c r="AH68" s="85">
        <f t="shared" si="107"/>
        <v>1.4967376954071223</v>
      </c>
      <c r="AI68" s="85">
        <f t="shared" si="108"/>
        <v>-112.8408813203222</v>
      </c>
      <c r="AJ68" s="85">
        <f t="shared" si="109"/>
        <v>-198.1108814640961</v>
      </c>
      <c r="AK68" s="85">
        <f t="shared" si="110"/>
        <v>-115.31028473832838</v>
      </c>
      <c r="AL68" s="85">
        <f t="shared" si="111"/>
        <v>196.23002723745194</v>
      </c>
      <c r="AM68" s="97">
        <f t="shared" si="112"/>
        <v>227.48120076847027</v>
      </c>
      <c r="AN68" s="97">
        <f t="shared" si="113"/>
        <v>227.99338992968237</v>
      </c>
      <c r="AO68" s="105">
        <f t="shared" si="114"/>
        <v>227.6020328469091</v>
      </c>
      <c r="AP68" s="1"/>
      <c r="AQ68" s="191">
        <f t="shared" si="27"/>
        <v>0</v>
      </c>
      <c r="AR68" s="185">
        <f t="shared" si="28"/>
        <v>0</v>
      </c>
      <c r="AS68" s="185">
        <f t="shared" si="29"/>
        <v>0</v>
      </c>
      <c r="AT68" s="185">
        <f t="shared" si="30"/>
        <v>0</v>
      </c>
      <c r="AU68" s="185">
        <f t="shared" si="31"/>
        <v>49.19904698403299</v>
      </c>
      <c r="AV68" s="185">
        <f t="shared" si="32"/>
        <v>-10.384039791230407</v>
      </c>
      <c r="AW68" s="192">
        <f t="shared" si="33"/>
        <v>0.04919904698403299</v>
      </c>
      <c r="AX68" s="192">
        <f t="shared" si="34"/>
        <v>-0.010384039791230407</v>
      </c>
      <c r="AY68" s="193">
        <f t="shared" si="35"/>
        <v>0.050282944489388665</v>
      </c>
      <c r="BA68" s="199">
        <f t="shared" si="36"/>
        <v>0.03834897661688582</v>
      </c>
    </row>
    <row r="69" spans="1:53" ht="12">
      <c r="A69" s="49" t="s">
        <v>149</v>
      </c>
      <c r="B69" s="39" t="str">
        <f t="shared" si="115"/>
        <v>CAJAS MEGA</v>
      </c>
      <c r="C69" s="39" t="s">
        <v>51</v>
      </c>
      <c r="D69" s="95" t="s">
        <v>119</v>
      </c>
      <c r="E69" s="137">
        <v>0.12</v>
      </c>
      <c r="F69" s="40">
        <v>0.98</v>
      </c>
      <c r="G69" s="40">
        <v>1</v>
      </c>
      <c r="H69" s="89">
        <f t="shared" si="95"/>
        <v>10</v>
      </c>
      <c r="I69" s="138">
        <v>50</v>
      </c>
      <c r="J69" s="39" t="s">
        <v>230</v>
      </c>
      <c r="K69" s="41">
        <v>5</v>
      </c>
      <c r="L69" s="40">
        <v>1</v>
      </c>
      <c r="M69" s="41" t="s">
        <v>245</v>
      </c>
      <c r="N69" s="39">
        <v>2.5</v>
      </c>
      <c r="O69" s="89">
        <f t="shared" si="96"/>
        <v>20</v>
      </c>
      <c r="P69" s="63">
        <f t="shared" si="97"/>
        <v>21</v>
      </c>
      <c r="Q69" s="88">
        <f t="shared" si="20"/>
        <v>97.47514459538064</v>
      </c>
      <c r="R69" s="29">
        <f t="shared" si="98"/>
        <v>3.829543411157033</v>
      </c>
      <c r="S69" s="35">
        <f t="shared" si="4"/>
        <v>1.6582409394786528</v>
      </c>
      <c r="T69" s="85">
        <f t="shared" si="99"/>
        <v>0.12</v>
      </c>
      <c r="U69" s="85">
        <f t="shared" si="100"/>
        <v>0.024367039276080506</v>
      </c>
      <c r="V69" s="110">
        <f t="shared" si="101"/>
        <v>0.5302196349700644</v>
      </c>
      <c r="W69" s="203">
        <f t="shared" si="8"/>
        <v>0.5196152422706631</v>
      </c>
      <c r="X69" s="203">
        <f t="shared" si="9"/>
        <v>-0.10551237514049445</v>
      </c>
      <c r="Y69" s="203">
        <f t="shared" si="10"/>
        <v>0</v>
      </c>
      <c r="Z69" s="203">
        <f t="shared" si="11"/>
        <v>0</v>
      </c>
      <c r="AA69" s="203">
        <f t="shared" si="12"/>
        <v>0</v>
      </c>
      <c r="AB69" s="203">
        <f t="shared" si="13"/>
        <v>0</v>
      </c>
      <c r="AC69" s="85">
        <f t="shared" si="102"/>
        <v>0.5196152422706631</v>
      </c>
      <c r="AD69" s="85">
        <f t="shared" si="103"/>
        <v>-0.10551237514049445</v>
      </c>
      <c r="AE69" s="85">
        <f t="shared" si="104"/>
        <v>0.5302196349700645</v>
      </c>
      <c r="AF69" s="205">
        <f t="shared" si="105"/>
        <v>0.35714285714285715</v>
      </c>
      <c r="AG69" s="85">
        <f t="shared" si="106"/>
        <v>227.1051229951762</v>
      </c>
      <c r="AH69" s="85">
        <f t="shared" si="107"/>
        <v>1.5721036776503325</v>
      </c>
      <c r="AI69" s="85">
        <f t="shared" si="108"/>
        <v>-112.8408813203222</v>
      </c>
      <c r="AJ69" s="85">
        <f t="shared" si="109"/>
        <v>-198.1108814640961</v>
      </c>
      <c r="AK69" s="85">
        <f t="shared" si="110"/>
        <v>-115.36542591280309</v>
      </c>
      <c r="AL69" s="85">
        <f t="shared" si="111"/>
        <v>196.3946200369541</v>
      </c>
      <c r="AM69" s="97">
        <f t="shared" si="112"/>
        <v>227.1105642646933</v>
      </c>
      <c r="AN69" s="97">
        <f t="shared" si="113"/>
        <v>227.99338992968237</v>
      </c>
      <c r="AO69" s="105">
        <f t="shared" si="114"/>
        <v>227.77187770991844</v>
      </c>
      <c r="AP69" s="1"/>
      <c r="AQ69" s="191">
        <f t="shared" si="27"/>
        <v>117.84140711305123</v>
      </c>
      <c r="AR69" s="185">
        <f t="shared" si="28"/>
        <v>-24.779289967132044</v>
      </c>
      <c r="AS69" s="185">
        <f t="shared" si="29"/>
        <v>0</v>
      </c>
      <c r="AT69" s="185">
        <f t="shared" si="30"/>
        <v>0</v>
      </c>
      <c r="AU69" s="185">
        <f t="shared" si="31"/>
        <v>0</v>
      </c>
      <c r="AV69" s="185">
        <f t="shared" si="32"/>
        <v>0</v>
      </c>
      <c r="AW69" s="192">
        <f t="shared" si="33"/>
        <v>0.11784140711305123</v>
      </c>
      <c r="AX69" s="192">
        <f t="shared" si="34"/>
        <v>-0.024779289967132044</v>
      </c>
      <c r="AY69" s="193">
        <f t="shared" si="35"/>
        <v>0.12041848048227104</v>
      </c>
      <c r="BA69" s="199">
        <f t="shared" si="36"/>
        <v>0.2008091866484203</v>
      </c>
    </row>
    <row r="70" spans="1:53" ht="12">
      <c r="A70" s="49" t="s">
        <v>150</v>
      </c>
      <c r="B70" s="39" t="str">
        <f t="shared" si="115"/>
        <v>CAJAS MEGA</v>
      </c>
      <c r="C70" s="39" t="s">
        <v>52</v>
      </c>
      <c r="D70" s="95" t="s">
        <v>120</v>
      </c>
      <c r="E70" s="137">
        <v>0.12</v>
      </c>
      <c r="F70" s="40">
        <v>0.98</v>
      </c>
      <c r="G70" s="40">
        <v>1</v>
      </c>
      <c r="H70" s="89">
        <f t="shared" si="95"/>
        <v>10</v>
      </c>
      <c r="I70" s="138">
        <v>50</v>
      </c>
      <c r="J70" s="39" t="s">
        <v>231</v>
      </c>
      <c r="K70" s="41">
        <v>5</v>
      </c>
      <c r="L70" s="40">
        <v>1</v>
      </c>
      <c r="M70" s="41" t="s">
        <v>245</v>
      </c>
      <c r="N70" s="39">
        <v>2.5</v>
      </c>
      <c r="O70" s="89">
        <f t="shared" si="96"/>
        <v>20</v>
      </c>
      <c r="P70" s="63">
        <f t="shared" si="97"/>
        <v>21</v>
      </c>
      <c r="Q70" s="88">
        <f t="shared" si="20"/>
        <v>97.47514459538064</v>
      </c>
      <c r="R70" s="29">
        <f t="shared" si="98"/>
        <v>3.3174115166384013</v>
      </c>
      <c r="S70" s="35">
        <f t="shared" si="4"/>
        <v>1.436481324107959</v>
      </c>
      <c r="T70" s="85">
        <f t="shared" si="99"/>
        <v>0.12</v>
      </c>
      <c r="U70" s="85">
        <f t="shared" si="100"/>
        <v>0.024367039276080506</v>
      </c>
      <c r="V70" s="110">
        <f t="shared" si="101"/>
        <v>0.5302196349700644</v>
      </c>
      <c r="W70" s="203">
        <f t="shared" si="8"/>
        <v>0</v>
      </c>
      <c r="X70" s="203">
        <f t="shared" si="9"/>
        <v>0</v>
      </c>
      <c r="Y70" s="203">
        <f t="shared" si="10"/>
        <v>-0.3511840184206334</v>
      </c>
      <c r="Z70" s="203">
        <f t="shared" si="11"/>
        <v>-0.3972438124297527</v>
      </c>
      <c r="AA70" s="203">
        <f t="shared" si="12"/>
        <v>0</v>
      </c>
      <c r="AB70" s="203">
        <f t="shared" si="13"/>
        <v>0</v>
      </c>
      <c r="AC70" s="85">
        <f t="shared" si="102"/>
        <v>-0.3511840184206334</v>
      </c>
      <c r="AD70" s="85">
        <f t="shared" si="103"/>
        <v>-0.3972438124297527</v>
      </c>
      <c r="AE70" s="85">
        <f t="shared" si="104"/>
        <v>0.5302196349700644</v>
      </c>
      <c r="AF70" s="205">
        <f t="shared" si="105"/>
        <v>0.35714285714285715</v>
      </c>
      <c r="AG70" s="85">
        <f t="shared" si="106"/>
        <v>227.47627673965525</v>
      </c>
      <c r="AH70" s="85">
        <f t="shared" si="107"/>
        <v>1.4967376954071223</v>
      </c>
      <c r="AI70" s="85">
        <f t="shared" si="108"/>
        <v>-112.59003559287889</v>
      </c>
      <c r="AJ70" s="85">
        <f t="shared" si="109"/>
        <v>-197.82713588378914</v>
      </c>
      <c r="AK70" s="85">
        <f t="shared" si="110"/>
        <v>-115.36542591280309</v>
      </c>
      <c r="AL70" s="85">
        <f t="shared" si="111"/>
        <v>196.3946200369541</v>
      </c>
      <c r="AM70" s="97">
        <f t="shared" si="112"/>
        <v>227.48120076847027</v>
      </c>
      <c r="AN70" s="97">
        <f t="shared" si="113"/>
        <v>227.62269615921193</v>
      </c>
      <c r="AO70" s="105">
        <f t="shared" si="114"/>
        <v>227.77187770991844</v>
      </c>
      <c r="AP70" s="1"/>
      <c r="AQ70" s="191">
        <f t="shared" si="27"/>
        <v>0</v>
      </c>
      <c r="AR70" s="185">
        <f t="shared" si="28"/>
        <v>0</v>
      </c>
      <c r="AS70" s="185">
        <f t="shared" si="29"/>
        <v>118.1254267941645</v>
      </c>
      <c r="AT70" s="185">
        <f t="shared" si="30"/>
        <v>-24.748033551796993</v>
      </c>
      <c r="AU70" s="185">
        <f t="shared" si="31"/>
        <v>0</v>
      </c>
      <c r="AV70" s="185">
        <f t="shared" si="32"/>
        <v>0</v>
      </c>
      <c r="AW70" s="192">
        <f t="shared" si="33"/>
        <v>0.1181254267941645</v>
      </c>
      <c r="AX70" s="192">
        <f t="shared" si="34"/>
        <v>-0.024748033551796993</v>
      </c>
      <c r="AY70" s="193">
        <f t="shared" si="35"/>
        <v>0.12069002286843925</v>
      </c>
      <c r="BA70" s="199">
        <f t="shared" si="36"/>
        <v>0.20080918664842026</v>
      </c>
    </row>
    <row r="71" spans="1:53" ht="12">
      <c r="A71" s="49" t="s">
        <v>151</v>
      </c>
      <c r="B71" s="39" t="str">
        <f t="shared" si="115"/>
        <v>CAJAS MEGA</v>
      </c>
      <c r="C71" s="39" t="s">
        <v>53</v>
      </c>
      <c r="D71" s="95" t="s">
        <v>121</v>
      </c>
      <c r="E71" s="137">
        <v>0.12</v>
      </c>
      <c r="F71" s="40">
        <v>0.98</v>
      </c>
      <c r="G71" s="40">
        <v>1</v>
      </c>
      <c r="H71" s="89">
        <f t="shared" si="95"/>
        <v>10</v>
      </c>
      <c r="I71" s="138">
        <v>50</v>
      </c>
      <c r="J71" s="39" t="s">
        <v>232</v>
      </c>
      <c r="K71" s="41">
        <v>5</v>
      </c>
      <c r="L71" s="40">
        <v>1</v>
      </c>
      <c r="M71" s="41" t="s">
        <v>245</v>
      </c>
      <c r="N71" s="39">
        <v>2.5</v>
      </c>
      <c r="O71" s="89">
        <f t="shared" si="96"/>
        <v>20</v>
      </c>
      <c r="P71" s="63">
        <f t="shared" si="97"/>
        <v>21</v>
      </c>
      <c r="Q71" s="88">
        <f t="shared" si="20"/>
        <v>97.47514459538064</v>
      </c>
      <c r="R71" s="29">
        <f t="shared" si="98"/>
        <v>3.538793296123373</v>
      </c>
      <c r="S71" s="35">
        <f t="shared" si="4"/>
        <v>1.5323424465924542</v>
      </c>
      <c r="T71" s="85">
        <f t="shared" si="99"/>
        <v>0.12</v>
      </c>
      <c r="U71" s="85">
        <f t="shared" si="100"/>
        <v>0.024367039276080506</v>
      </c>
      <c r="V71" s="110">
        <f t="shared" si="101"/>
        <v>0.5302196349700644</v>
      </c>
      <c r="W71" s="203">
        <f t="shared" si="8"/>
        <v>0</v>
      </c>
      <c r="X71" s="203">
        <f t="shared" si="9"/>
        <v>0</v>
      </c>
      <c r="Y71" s="203">
        <f t="shared" si="10"/>
        <v>0</v>
      </c>
      <c r="Z71" s="203">
        <f t="shared" si="11"/>
        <v>0</v>
      </c>
      <c r="AA71" s="203">
        <f t="shared" si="12"/>
        <v>-0.16843122385002957</v>
      </c>
      <c r="AB71" s="203">
        <f t="shared" si="13"/>
        <v>0.5027561875702472</v>
      </c>
      <c r="AC71" s="85">
        <f t="shared" si="102"/>
        <v>-0.16843122385002957</v>
      </c>
      <c r="AD71" s="85">
        <f t="shared" si="103"/>
        <v>0.5027561875702472</v>
      </c>
      <c r="AE71" s="85">
        <f t="shared" si="104"/>
        <v>0.5302196349700644</v>
      </c>
      <c r="AF71" s="205">
        <f t="shared" si="105"/>
        <v>0.35714285714285715</v>
      </c>
      <c r="AG71" s="85">
        <f t="shared" si="106"/>
        <v>227.47627673965525</v>
      </c>
      <c r="AH71" s="85">
        <f t="shared" si="107"/>
        <v>1.4967376954071223</v>
      </c>
      <c r="AI71" s="85">
        <f t="shared" si="108"/>
        <v>-112.8408813203222</v>
      </c>
      <c r="AJ71" s="85">
        <f t="shared" si="109"/>
        <v>-198.1108814640961</v>
      </c>
      <c r="AK71" s="85">
        <f t="shared" si="110"/>
        <v>-115.24511789576735</v>
      </c>
      <c r="AL71" s="85">
        <f t="shared" si="111"/>
        <v>196.03550847440394</v>
      </c>
      <c r="AM71" s="97">
        <f t="shared" si="112"/>
        <v>227.48120076847027</v>
      </c>
      <c r="AN71" s="97">
        <f t="shared" si="113"/>
        <v>227.99338992968237</v>
      </c>
      <c r="AO71" s="105">
        <f t="shared" si="114"/>
        <v>227.40131437972695</v>
      </c>
      <c r="AP71" s="1"/>
      <c r="AQ71" s="191">
        <f t="shared" si="27"/>
        <v>0</v>
      </c>
      <c r="AR71" s="185">
        <f t="shared" si="28"/>
        <v>0</v>
      </c>
      <c r="AS71" s="185">
        <f t="shared" si="29"/>
        <v>0</v>
      </c>
      <c r="AT71" s="185">
        <f t="shared" si="30"/>
        <v>0</v>
      </c>
      <c r="AU71" s="185">
        <f t="shared" si="31"/>
        <v>117.96894111891125</v>
      </c>
      <c r="AV71" s="185">
        <f t="shared" si="32"/>
        <v>-24.921695498952964</v>
      </c>
      <c r="AW71" s="192">
        <f t="shared" si="33"/>
        <v>0.11796894111891125</v>
      </c>
      <c r="AX71" s="192">
        <f t="shared" si="34"/>
        <v>-0.024921695498952963</v>
      </c>
      <c r="AY71" s="193">
        <f t="shared" si="35"/>
        <v>0.12057264190213168</v>
      </c>
      <c r="BA71" s="199">
        <f t="shared" si="36"/>
        <v>0.20080918664842026</v>
      </c>
    </row>
    <row r="72" spans="1:53" ht="12">
      <c r="A72" s="49" t="s">
        <v>152</v>
      </c>
      <c r="B72" s="39" t="str">
        <f t="shared" si="115"/>
        <v>CAJAS MEGA</v>
      </c>
      <c r="C72" s="39" t="s">
        <v>54</v>
      </c>
      <c r="D72" s="95" t="s">
        <v>122</v>
      </c>
      <c r="E72" s="137">
        <v>0.12</v>
      </c>
      <c r="F72" s="40">
        <v>0.98</v>
      </c>
      <c r="G72" s="40">
        <v>1</v>
      </c>
      <c r="H72" s="89">
        <f t="shared" si="95"/>
        <v>10</v>
      </c>
      <c r="I72" s="138">
        <v>50</v>
      </c>
      <c r="J72" s="39" t="s">
        <v>230</v>
      </c>
      <c r="K72" s="41">
        <v>5</v>
      </c>
      <c r="L72" s="40">
        <v>1</v>
      </c>
      <c r="M72" s="41" t="s">
        <v>245</v>
      </c>
      <c r="N72" s="39">
        <v>2.5</v>
      </c>
      <c r="O72" s="89">
        <f t="shared" si="96"/>
        <v>20</v>
      </c>
      <c r="P72" s="63">
        <f t="shared" si="97"/>
        <v>21</v>
      </c>
      <c r="Q72" s="88">
        <f t="shared" si="20"/>
        <v>97.47514459538064</v>
      </c>
      <c r="R72" s="29">
        <f t="shared" si="98"/>
        <v>3.829543411157033</v>
      </c>
      <c r="S72" s="35">
        <f t="shared" si="4"/>
        <v>1.6582409394786528</v>
      </c>
      <c r="T72" s="85">
        <f t="shared" si="99"/>
        <v>0.12</v>
      </c>
      <c r="U72" s="85">
        <f t="shared" si="100"/>
        <v>0.024367039276080506</v>
      </c>
      <c r="V72" s="110">
        <f t="shared" si="101"/>
        <v>0.5302196349700644</v>
      </c>
      <c r="W72" s="203">
        <f t="shared" si="8"/>
        <v>0.5196152422706631</v>
      </c>
      <c r="X72" s="203">
        <f t="shared" si="9"/>
        <v>-0.10551237514049445</v>
      </c>
      <c r="Y72" s="203">
        <f t="shared" si="10"/>
        <v>0</v>
      </c>
      <c r="Z72" s="203">
        <f t="shared" si="11"/>
        <v>0</v>
      </c>
      <c r="AA72" s="203">
        <f t="shared" si="12"/>
        <v>0</v>
      </c>
      <c r="AB72" s="203">
        <f t="shared" si="13"/>
        <v>0</v>
      </c>
      <c r="AC72" s="85">
        <f t="shared" si="102"/>
        <v>0.5196152422706631</v>
      </c>
      <c r="AD72" s="85">
        <f t="shared" si="103"/>
        <v>-0.10551237514049445</v>
      </c>
      <c r="AE72" s="85">
        <f t="shared" si="104"/>
        <v>0.5302196349700645</v>
      </c>
      <c r="AF72" s="205">
        <f t="shared" si="105"/>
        <v>0.35714285714285715</v>
      </c>
      <c r="AG72" s="85">
        <f t="shared" si="106"/>
        <v>227.1051229951762</v>
      </c>
      <c r="AH72" s="85">
        <f t="shared" si="107"/>
        <v>1.5721036776503325</v>
      </c>
      <c r="AI72" s="85">
        <f t="shared" si="108"/>
        <v>-112.8408813203222</v>
      </c>
      <c r="AJ72" s="85">
        <f t="shared" si="109"/>
        <v>-198.1108814640961</v>
      </c>
      <c r="AK72" s="85">
        <f t="shared" si="110"/>
        <v>-115.36542591280309</v>
      </c>
      <c r="AL72" s="85">
        <f t="shared" si="111"/>
        <v>196.3946200369541</v>
      </c>
      <c r="AM72" s="97">
        <f t="shared" si="112"/>
        <v>227.1105642646933</v>
      </c>
      <c r="AN72" s="97">
        <f t="shared" si="113"/>
        <v>227.99338992968237</v>
      </c>
      <c r="AO72" s="105">
        <f t="shared" si="114"/>
        <v>227.77187770991844</v>
      </c>
      <c r="AP72" s="1"/>
      <c r="AQ72" s="191">
        <f t="shared" si="27"/>
        <v>117.84140711305123</v>
      </c>
      <c r="AR72" s="185">
        <f t="shared" si="28"/>
        <v>-24.779289967132044</v>
      </c>
      <c r="AS72" s="185">
        <f t="shared" si="29"/>
        <v>0</v>
      </c>
      <c r="AT72" s="185">
        <f t="shared" si="30"/>
        <v>0</v>
      </c>
      <c r="AU72" s="185">
        <f t="shared" si="31"/>
        <v>0</v>
      </c>
      <c r="AV72" s="185">
        <f t="shared" si="32"/>
        <v>0</v>
      </c>
      <c r="AW72" s="192">
        <f t="shared" si="33"/>
        <v>0.11784140711305123</v>
      </c>
      <c r="AX72" s="192">
        <f t="shared" si="34"/>
        <v>-0.024779289967132044</v>
      </c>
      <c r="AY72" s="193">
        <f t="shared" si="35"/>
        <v>0.12041848048227104</v>
      </c>
      <c r="BA72" s="199">
        <f t="shared" si="36"/>
        <v>0.2008091866484203</v>
      </c>
    </row>
    <row r="73" spans="1:53" ht="12">
      <c r="A73" s="49" t="s">
        <v>153</v>
      </c>
      <c r="B73" s="39" t="str">
        <f t="shared" si="115"/>
        <v>CAJAS MEGA</v>
      </c>
      <c r="C73" s="39" t="s">
        <v>55</v>
      </c>
      <c r="D73" s="95" t="s">
        <v>123</v>
      </c>
      <c r="E73" s="137">
        <v>0.12</v>
      </c>
      <c r="F73" s="40">
        <v>0.98</v>
      </c>
      <c r="G73" s="40">
        <v>1</v>
      </c>
      <c r="H73" s="89">
        <f t="shared" si="95"/>
        <v>10</v>
      </c>
      <c r="I73" s="138">
        <v>50</v>
      </c>
      <c r="J73" s="39" t="s">
        <v>231</v>
      </c>
      <c r="K73" s="41">
        <v>5</v>
      </c>
      <c r="L73" s="40">
        <v>1</v>
      </c>
      <c r="M73" s="41" t="s">
        <v>245</v>
      </c>
      <c r="N73" s="39">
        <v>2.5</v>
      </c>
      <c r="O73" s="89">
        <f t="shared" si="96"/>
        <v>20</v>
      </c>
      <c r="P73" s="63">
        <f t="shared" si="97"/>
        <v>21</v>
      </c>
      <c r="Q73" s="88">
        <f t="shared" si="20"/>
        <v>97.47514459538064</v>
      </c>
      <c r="R73" s="29">
        <f t="shared" si="98"/>
        <v>3.3174115166384013</v>
      </c>
      <c r="S73" s="35">
        <f t="shared" si="4"/>
        <v>1.436481324107959</v>
      </c>
      <c r="T73" s="85">
        <f t="shared" si="99"/>
        <v>0.12</v>
      </c>
      <c r="U73" s="85">
        <f t="shared" si="100"/>
        <v>0.024367039276080506</v>
      </c>
      <c r="V73" s="110">
        <f t="shared" si="101"/>
        <v>0.5302196349700644</v>
      </c>
      <c r="W73" s="203">
        <f t="shared" si="8"/>
        <v>0</v>
      </c>
      <c r="X73" s="203">
        <f t="shared" si="9"/>
        <v>0</v>
      </c>
      <c r="Y73" s="203">
        <f t="shared" si="10"/>
        <v>-0.3511840184206334</v>
      </c>
      <c r="Z73" s="203">
        <f t="shared" si="11"/>
        <v>-0.3972438124297527</v>
      </c>
      <c r="AA73" s="203">
        <f t="shared" si="12"/>
        <v>0</v>
      </c>
      <c r="AB73" s="203">
        <f t="shared" si="13"/>
        <v>0</v>
      </c>
      <c r="AC73" s="85">
        <f t="shared" si="102"/>
        <v>-0.3511840184206334</v>
      </c>
      <c r="AD73" s="85">
        <f t="shared" si="103"/>
        <v>-0.3972438124297527</v>
      </c>
      <c r="AE73" s="85">
        <f t="shared" si="104"/>
        <v>0.5302196349700644</v>
      </c>
      <c r="AF73" s="205">
        <f t="shared" si="105"/>
        <v>0.35714285714285715</v>
      </c>
      <c r="AG73" s="85">
        <f t="shared" si="106"/>
        <v>227.47627673965525</v>
      </c>
      <c r="AH73" s="85">
        <f t="shared" si="107"/>
        <v>1.4967376954071223</v>
      </c>
      <c r="AI73" s="85">
        <f t="shared" si="108"/>
        <v>-112.59003559287889</v>
      </c>
      <c r="AJ73" s="85">
        <f t="shared" si="109"/>
        <v>-197.82713588378914</v>
      </c>
      <c r="AK73" s="85">
        <f t="shared" si="110"/>
        <v>-115.36542591280309</v>
      </c>
      <c r="AL73" s="85">
        <f t="shared" si="111"/>
        <v>196.3946200369541</v>
      </c>
      <c r="AM73" s="97">
        <f t="shared" si="112"/>
        <v>227.48120076847027</v>
      </c>
      <c r="AN73" s="97">
        <f t="shared" si="113"/>
        <v>227.62269615921193</v>
      </c>
      <c r="AO73" s="105">
        <f t="shared" si="114"/>
        <v>227.77187770991844</v>
      </c>
      <c r="AP73" s="1"/>
      <c r="AQ73" s="191">
        <f t="shared" si="27"/>
        <v>0</v>
      </c>
      <c r="AR73" s="185">
        <f t="shared" si="28"/>
        <v>0</v>
      </c>
      <c r="AS73" s="185">
        <f t="shared" si="29"/>
        <v>118.1254267941645</v>
      </c>
      <c r="AT73" s="185">
        <f t="shared" si="30"/>
        <v>-24.748033551796993</v>
      </c>
      <c r="AU73" s="185">
        <f t="shared" si="31"/>
        <v>0</v>
      </c>
      <c r="AV73" s="185">
        <f t="shared" si="32"/>
        <v>0</v>
      </c>
      <c r="AW73" s="192">
        <f t="shared" si="33"/>
        <v>0.1181254267941645</v>
      </c>
      <c r="AX73" s="192">
        <f t="shared" si="34"/>
        <v>-0.024748033551796993</v>
      </c>
      <c r="AY73" s="193">
        <f t="shared" si="35"/>
        <v>0.12069002286843925</v>
      </c>
      <c r="BA73" s="199">
        <f t="shared" si="36"/>
        <v>0.20080918664842026</v>
      </c>
    </row>
    <row r="74" spans="1:53" ht="12">
      <c r="A74" s="49" t="s">
        <v>154</v>
      </c>
      <c r="B74" s="39" t="str">
        <f t="shared" si="115"/>
        <v>CAJAS MEGA</v>
      </c>
      <c r="C74" s="39" t="s">
        <v>56</v>
      </c>
      <c r="D74" s="95" t="s">
        <v>124</v>
      </c>
      <c r="E74" s="137">
        <v>0.035</v>
      </c>
      <c r="F74" s="40">
        <v>0.98</v>
      </c>
      <c r="G74" s="40">
        <v>1</v>
      </c>
      <c r="H74" s="89">
        <f t="shared" si="95"/>
        <v>10</v>
      </c>
      <c r="I74" s="138">
        <v>20</v>
      </c>
      <c r="J74" s="39" t="s">
        <v>232</v>
      </c>
      <c r="K74" s="41">
        <v>5</v>
      </c>
      <c r="L74" s="40">
        <v>1</v>
      </c>
      <c r="M74" s="41" t="s">
        <v>245</v>
      </c>
      <c r="N74" s="39">
        <v>2.5</v>
      </c>
      <c r="O74" s="89">
        <f aca="true" t="shared" si="116" ref="O74:O79">IF(I74,VLOOKUP(N74,TUBOS,IF(OR(J74="RST",J74=""),3,2)),"")</f>
        <v>20</v>
      </c>
      <c r="P74" s="63">
        <f aca="true" t="shared" si="117" ref="P74:P79">IF(I74,VLOOKUP(N74,Imax_RBT,K74+1)*L74,"")</f>
        <v>21</v>
      </c>
      <c r="Q74" s="88">
        <f t="shared" si="20"/>
        <v>99.26358384031936</v>
      </c>
      <c r="R74" s="29">
        <f aca="true" t="shared" si="118" ref="R74:R79">IF(J74="R",$S$8-AM74+$S$9,IF(J74="S",$S$8-AN74+$S$9,IF(J74="T",$S$8-AO74+$S$9,$S$8-MIN(AM74:AO74)+$S$9)))</f>
        <v>3.211463738752883</v>
      </c>
      <c r="S74" s="35">
        <f t="shared" si="4"/>
        <v>1.3906045905462743</v>
      </c>
      <c r="T74" s="85">
        <f aca="true" t="shared" si="119" ref="T74:T79">IF(ISBLANK(E74),SUMIF(INI,C74,POT_RESULT),E74*G74)</f>
        <v>0.035</v>
      </c>
      <c r="U74" s="85">
        <f aca="true" t="shared" si="120" ref="U74:U79">IF(ISBLANK(E74),"",TAN(ACOS(F74))*T74)</f>
        <v>0.007107053122190148</v>
      </c>
      <c r="V74" s="110">
        <f aca="true" t="shared" si="121" ref="V74:V79">IF(ISBLANK(J74),"",G74*IF(J74="RST",E74*1000/SQRT(3)/$S$7/F74,E74*1000/$S$8/F74))</f>
        <v>0.15464739353293547</v>
      </c>
      <c r="W74" s="203">
        <f t="shared" si="8"/>
        <v>0</v>
      </c>
      <c r="X74" s="203">
        <f t="shared" si="9"/>
        <v>0</v>
      </c>
      <c r="Y74" s="203">
        <f t="shared" si="10"/>
        <v>0</v>
      </c>
      <c r="Z74" s="203">
        <f t="shared" si="11"/>
        <v>0</v>
      </c>
      <c r="AA74" s="203">
        <f t="shared" si="12"/>
        <v>-0.04912577362292529</v>
      </c>
      <c r="AB74" s="203">
        <f t="shared" si="13"/>
        <v>0.14663722137465546</v>
      </c>
      <c r="AC74" s="85">
        <f aca="true" t="shared" si="122" ref="AC74:AC79">W74+Y74+AA74</f>
        <v>-0.04912577362292529</v>
      </c>
      <c r="AD74" s="85">
        <f aca="true" t="shared" si="123" ref="AD74:AD79">X74+Z74+AB74</f>
        <v>0.14663722137465546</v>
      </c>
      <c r="AE74" s="85">
        <f aca="true" t="shared" si="124" ref="AE74:AE79">MAX(SQRT(W74^2+X74^2),SQRT(Y74^2+Z74^2),SQRT(AA74^2+AB74^2),SQRT(AC74^2+AD74^2))</f>
        <v>0.15464739353293547</v>
      </c>
      <c r="AF74" s="205">
        <f aca="true" t="shared" si="125" ref="AF74:AF79">IF(OR(M74=0,N74=0),0,IF(M74="Cu",I74/56/N74,I74/35/N74))</f>
        <v>0.14285714285714285</v>
      </c>
      <c r="AG74" s="85">
        <f aca="true" t="shared" si="126" ref="AG74:AG79">SUMIF(FIN,$B74,ac_R_Re)-IF(W74*X74&lt;&gt;0,$AF74*(W74+AC74))</f>
        <v>227.47627673965525</v>
      </c>
      <c r="AH74" s="85">
        <f aca="true" t="shared" si="127" ref="AH74:AH79">SUMIF(FIN,$B74,ac_R_Im)-IF(W74*X74&lt;&gt;0,$AF74*(X74+AD74))</f>
        <v>1.4967376954071223</v>
      </c>
      <c r="AI74" s="85">
        <f aca="true" t="shared" si="128" ref="AI74:AI79">SUMIF(FIN,B74,ac_S_Re)-IF(Y74*Z74&lt;&gt;0,$AF74*(Y74+AC74))</f>
        <v>-112.8408813203222</v>
      </c>
      <c r="AJ74" s="85">
        <f aca="true" t="shared" si="129" ref="AJ74:AJ79">SUMIF(FIN,B74,ac_S_Im)-IF(Y74*Z74&lt;&gt;0,AF74*(Z74+AD74))</f>
        <v>-198.1108814640961</v>
      </c>
      <c r="AK74" s="85">
        <f aca="true" t="shared" si="130" ref="AK74:AK79">SUMIF(FIN,B74,ac_T_Re)-IF(AA74*AB74&lt;&gt;0,AF74*(AA74+AC74))</f>
        <v>-115.35138997748226</v>
      </c>
      <c r="AL74" s="85">
        <f aca="true" t="shared" si="131" ref="AL74:AL79">SUMIF(FIN,B74,ac_T_Im)-IF(AA74*AB74&lt;&gt;0,AF74*(AB74+AD74))</f>
        <v>196.3527236879899</v>
      </c>
      <c r="AM74" s="97">
        <f aca="true" t="shared" si="132" ref="AM74:AM79">IF($K$10="Sí",SQRT(AG74^2+AH74^2),0)</f>
        <v>227.48120076847027</v>
      </c>
      <c r="AN74" s="97">
        <f aca="true" t="shared" si="133" ref="AN74:AN79">IF($L$10="Sí",SQRT(AI74^2+AJ74^2),0)</f>
        <v>227.99338992968237</v>
      </c>
      <c r="AO74" s="105">
        <f aca="true" t="shared" si="134" ref="AO74:AO79">IF($M$10="Sí",SQRT(AK74^2+AL74^2),0)</f>
        <v>227.72864393709744</v>
      </c>
      <c r="AP74" s="1"/>
      <c r="AQ74" s="191">
        <f t="shared" si="27"/>
        <v>0</v>
      </c>
      <c r="AR74" s="185">
        <f t="shared" si="28"/>
        <v>0</v>
      </c>
      <c r="AS74" s="185">
        <f t="shared" si="29"/>
        <v>0</v>
      </c>
      <c r="AT74" s="185">
        <f t="shared" si="30"/>
        <v>0</v>
      </c>
      <c r="AU74" s="185">
        <f t="shared" si="31"/>
        <v>34.459344082075894</v>
      </c>
      <c r="AV74" s="185">
        <f t="shared" si="32"/>
        <v>-7.268827853861286</v>
      </c>
      <c r="AW74" s="192">
        <f t="shared" si="33"/>
        <v>0.0344593440820759</v>
      </c>
      <c r="AX74" s="192">
        <f t="shared" si="34"/>
        <v>-0.007268827853861286</v>
      </c>
      <c r="AY74" s="193">
        <f t="shared" si="35"/>
        <v>0.03521764121766205</v>
      </c>
      <c r="BA74" s="199">
        <f t="shared" si="36"/>
        <v>0.006833090379008746</v>
      </c>
    </row>
    <row r="75" spans="1:53" ht="12">
      <c r="A75" s="49" t="s">
        <v>155</v>
      </c>
      <c r="B75" s="39" t="str">
        <f t="shared" si="115"/>
        <v>CAJAS MEGA</v>
      </c>
      <c r="C75" s="39" t="s">
        <v>57</v>
      </c>
      <c r="D75" s="95" t="s">
        <v>125</v>
      </c>
      <c r="E75" s="137">
        <v>0.035</v>
      </c>
      <c r="F75" s="40">
        <v>0.98</v>
      </c>
      <c r="G75" s="40">
        <v>1</v>
      </c>
      <c r="H75" s="89">
        <f t="shared" si="95"/>
        <v>10</v>
      </c>
      <c r="I75" s="138">
        <v>20</v>
      </c>
      <c r="J75" s="39" t="s">
        <v>230</v>
      </c>
      <c r="K75" s="41">
        <v>5</v>
      </c>
      <c r="L75" s="40">
        <v>1</v>
      </c>
      <c r="M75" s="41" t="s">
        <v>245</v>
      </c>
      <c r="N75" s="39">
        <v>2.5</v>
      </c>
      <c r="O75" s="89">
        <f t="shared" si="116"/>
        <v>20</v>
      </c>
      <c r="P75" s="63">
        <f t="shared" si="117"/>
        <v>21</v>
      </c>
      <c r="Q75" s="88">
        <f t="shared" si="20"/>
        <v>99.26358384031936</v>
      </c>
      <c r="R75" s="29">
        <f t="shared" si="118"/>
        <v>3.50214920660099</v>
      </c>
      <c r="S75" s="35">
        <f t="shared" si="4"/>
        <v>1.5164750903799868</v>
      </c>
      <c r="T75" s="85">
        <f t="shared" si="119"/>
        <v>0.035</v>
      </c>
      <c r="U75" s="85">
        <f t="shared" si="120"/>
        <v>0.007107053122190148</v>
      </c>
      <c r="V75" s="110">
        <f t="shared" si="121"/>
        <v>0.15464739353293547</v>
      </c>
      <c r="W75" s="203">
        <f t="shared" si="8"/>
        <v>0.15155444566227674</v>
      </c>
      <c r="X75" s="203">
        <f t="shared" si="9"/>
        <v>-0.030774442749310887</v>
      </c>
      <c r="Y75" s="203">
        <f t="shared" si="10"/>
        <v>0</v>
      </c>
      <c r="Z75" s="203">
        <f t="shared" si="11"/>
        <v>0</v>
      </c>
      <c r="AA75" s="203">
        <f t="shared" si="12"/>
        <v>0</v>
      </c>
      <c r="AB75" s="203">
        <f t="shared" si="13"/>
        <v>0</v>
      </c>
      <c r="AC75" s="85">
        <f t="shared" si="122"/>
        <v>0.15155444566227674</v>
      </c>
      <c r="AD75" s="85">
        <f t="shared" si="123"/>
        <v>-0.030774442749310887</v>
      </c>
      <c r="AE75" s="85">
        <f t="shared" si="124"/>
        <v>0.15464739353293547</v>
      </c>
      <c r="AF75" s="205">
        <f t="shared" si="125"/>
        <v>0.14285714285714285</v>
      </c>
      <c r="AG75" s="85">
        <f t="shared" si="126"/>
        <v>227.43297546946602</v>
      </c>
      <c r="AH75" s="85">
        <f t="shared" si="127"/>
        <v>1.5055303933354969</v>
      </c>
      <c r="AI75" s="85">
        <f t="shared" si="128"/>
        <v>-112.8408813203222</v>
      </c>
      <c r="AJ75" s="85">
        <f t="shared" si="129"/>
        <v>-198.1108814640961</v>
      </c>
      <c r="AK75" s="85">
        <f t="shared" si="130"/>
        <v>-115.36542591280309</v>
      </c>
      <c r="AL75" s="85">
        <f t="shared" si="131"/>
        <v>196.3946200369541</v>
      </c>
      <c r="AM75" s="97">
        <f t="shared" si="132"/>
        <v>227.43795846924934</v>
      </c>
      <c r="AN75" s="97">
        <f t="shared" si="133"/>
        <v>227.99338992968237</v>
      </c>
      <c r="AO75" s="105">
        <f t="shared" si="134"/>
        <v>227.77187770991844</v>
      </c>
      <c r="AP75" s="1"/>
      <c r="AQ75" s="191">
        <f t="shared" si="27"/>
        <v>34.42214666370006</v>
      </c>
      <c r="AR75" s="185">
        <f t="shared" si="28"/>
        <v>-7.22729290708018</v>
      </c>
      <c r="AS75" s="185">
        <f t="shared" si="29"/>
        <v>0</v>
      </c>
      <c r="AT75" s="185">
        <f t="shared" si="30"/>
        <v>0</v>
      </c>
      <c r="AU75" s="185">
        <f t="shared" si="31"/>
        <v>0</v>
      </c>
      <c r="AV75" s="185">
        <f t="shared" si="32"/>
        <v>0</v>
      </c>
      <c r="AW75" s="192">
        <f t="shared" si="33"/>
        <v>0.03442214666370006</v>
      </c>
      <c r="AX75" s="192">
        <f t="shared" si="34"/>
        <v>-0.00722729290708018</v>
      </c>
      <c r="AY75" s="193">
        <f t="shared" si="35"/>
        <v>0.03517268746772144</v>
      </c>
      <c r="BA75" s="199">
        <f t="shared" si="36"/>
        <v>0.006833090379008744</v>
      </c>
    </row>
    <row r="76" spans="1:53" ht="12">
      <c r="A76" s="49" t="s">
        <v>156</v>
      </c>
      <c r="B76" s="39" t="str">
        <f t="shared" si="115"/>
        <v>CAJAS MEGA</v>
      </c>
      <c r="C76" s="39" t="s">
        <v>58</v>
      </c>
      <c r="D76" s="95" t="s">
        <v>126</v>
      </c>
      <c r="E76" s="137">
        <v>0.035</v>
      </c>
      <c r="F76" s="40">
        <v>0.98</v>
      </c>
      <c r="G76" s="40">
        <v>1</v>
      </c>
      <c r="H76" s="89">
        <f t="shared" si="95"/>
        <v>10</v>
      </c>
      <c r="I76" s="138">
        <v>20</v>
      </c>
      <c r="J76" s="39" t="s">
        <v>231</v>
      </c>
      <c r="K76" s="41">
        <v>5</v>
      </c>
      <c r="L76" s="40">
        <v>1</v>
      </c>
      <c r="M76" s="41" t="s">
        <v>245</v>
      </c>
      <c r="N76" s="39">
        <v>2.5</v>
      </c>
      <c r="O76" s="89">
        <f t="shared" si="116"/>
        <v>20</v>
      </c>
      <c r="P76" s="63">
        <f t="shared" si="117"/>
        <v>21</v>
      </c>
      <c r="Q76" s="88">
        <f t="shared" si="20"/>
        <v>99.26358384031936</v>
      </c>
      <c r="R76" s="29">
        <f t="shared" si="118"/>
        <v>2.9899667138198254</v>
      </c>
      <c r="S76" s="35">
        <f t="shared" si="4"/>
        <v>1.2946935653189227</v>
      </c>
      <c r="T76" s="85">
        <f t="shared" si="119"/>
        <v>0.035</v>
      </c>
      <c r="U76" s="85">
        <f t="shared" si="120"/>
        <v>0.007107053122190148</v>
      </c>
      <c r="V76" s="110">
        <f t="shared" si="121"/>
        <v>0.15464739353293547</v>
      </c>
      <c r="W76" s="203">
        <f t="shared" si="8"/>
        <v>0</v>
      </c>
      <c r="X76" s="203">
        <f t="shared" si="9"/>
        <v>0</v>
      </c>
      <c r="Y76" s="203">
        <f t="shared" si="10"/>
        <v>-0.10242867203935142</v>
      </c>
      <c r="Z76" s="203">
        <f t="shared" si="11"/>
        <v>-0.11586277862534455</v>
      </c>
      <c r="AA76" s="203">
        <f t="shared" si="12"/>
        <v>0</v>
      </c>
      <c r="AB76" s="203">
        <f t="shared" si="13"/>
        <v>0</v>
      </c>
      <c r="AC76" s="85">
        <f t="shared" si="122"/>
        <v>-0.10242867203935142</v>
      </c>
      <c r="AD76" s="85">
        <f t="shared" si="123"/>
        <v>-0.11586277862534455</v>
      </c>
      <c r="AE76" s="85">
        <f t="shared" si="124"/>
        <v>0.15464739353293547</v>
      </c>
      <c r="AF76" s="205">
        <f t="shared" si="125"/>
        <v>0.14285714285714285</v>
      </c>
      <c r="AG76" s="85">
        <f t="shared" si="126"/>
        <v>227.47627673965525</v>
      </c>
      <c r="AH76" s="85">
        <f t="shared" si="127"/>
        <v>1.4967376954071223</v>
      </c>
      <c r="AI76" s="85">
        <f t="shared" si="128"/>
        <v>-112.81161598545381</v>
      </c>
      <c r="AJ76" s="85">
        <f t="shared" si="129"/>
        <v>-198.0777778130603</v>
      </c>
      <c r="AK76" s="85">
        <f t="shared" si="130"/>
        <v>-115.36542591280309</v>
      </c>
      <c r="AL76" s="85">
        <f t="shared" si="131"/>
        <v>196.3946200369541</v>
      </c>
      <c r="AM76" s="97">
        <f t="shared" si="132"/>
        <v>227.48120076847027</v>
      </c>
      <c r="AN76" s="97">
        <f t="shared" si="133"/>
        <v>227.9501409620305</v>
      </c>
      <c r="AO76" s="105">
        <f t="shared" si="134"/>
        <v>227.77187770991844</v>
      </c>
      <c r="AP76" s="1"/>
      <c r="AQ76" s="191">
        <f t="shared" si="27"/>
        <v>0</v>
      </c>
      <c r="AR76" s="185">
        <f t="shared" si="28"/>
        <v>0</v>
      </c>
      <c r="AS76" s="185">
        <f t="shared" si="29"/>
        <v>34.50498573735809</v>
      </c>
      <c r="AT76" s="185">
        <f t="shared" si="30"/>
        <v>-7.218176452607457</v>
      </c>
      <c r="AU76" s="185">
        <f t="shared" si="31"/>
        <v>0</v>
      </c>
      <c r="AV76" s="185">
        <f t="shared" si="32"/>
        <v>0</v>
      </c>
      <c r="AW76" s="192">
        <f t="shared" si="33"/>
        <v>0.03450498573735809</v>
      </c>
      <c r="AX76" s="192">
        <f t="shared" si="34"/>
        <v>-0.007218176452607457</v>
      </c>
      <c r="AY76" s="193">
        <f t="shared" si="35"/>
        <v>0.03525189515524325</v>
      </c>
      <c r="BA76" s="199">
        <f t="shared" si="36"/>
        <v>0.006833090379008745</v>
      </c>
    </row>
    <row r="77" spans="1:53" ht="12">
      <c r="A77" s="49" t="s">
        <v>157</v>
      </c>
      <c r="B77" s="39" t="str">
        <f t="shared" si="115"/>
        <v>CAJAS MEGA</v>
      </c>
      <c r="C77" s="39" t="s">
        <v>59</v>
      </c>
      <c r="D77" s="95" t="s">
        <v>127</v>
      </c>
      <c r="E77" s="137">
        <v>0.035</v>
      </c>
      <c r="F77" s="40">
        <v>0.98</v>
      </c>
      <c r="G77" s="40">
        <v>1</v>
      </c>
      <c r="H77" s="89">
        <f t="shared" si="95"/>
        <v>10</v>
      </c>
      <c r="I77" s="138">
        <v>20</v>
      </c>
      <c r="J77" s="39" t="s">
        <v>232</v>
      </c>
      <c r="K77" s="41">
        <v>5</v>
      </c>
      <c r="L77" s="40">
        <v>1</v>
      </c>
      <c r="M77" s="41" t="s">
        <v>245</v>
      </c>
      <c r="N77" s="39">
        <v>2.5</v>
      </c>
      <c r="O77" s="89">
        <f t="shared" si="116"/>
        <v>20</v>
      </c>
      <c r="P77" s="63">
        <f t="shared" si="117"/>
        <v>21</v>
      </c>
      <c r="Q77" s="88">
        <f t="shared" si="20"/>
        <v>99.26358384031936</v>
      </c>
      <c r="R77" s="29">
        <f t="shared" si="118"/>
        <v>3.211463738752883</v>
      </c>
      <c r="S77" s="35">
        <f t="shared" si="4"/>
        <v>1.3906045905462743</v>
      </c>
      <c r="T77" s="85">
        <f t="shared" si="119"/>
        <v>0.035</v>
      </c>
      <c r="U77" s="85">
        <f t="shared" si="120"/>
        <v>0.007107053122190148</v>
      </c>
      <c r="V77" s="110">
        <f t="shared" si="121"/>
        <v>0.15464739353293547</v>
      </c>
      <c r="W77" s="203">
        <f t="shared" si="8"/>
        <v>0</v>
      </c>
      <c r="X77" s="203">
        <f t="shared" si="9"/>
        <v>0</v>
      </c>
      <c r="Y77" s="203">
        <f t="shared" si="10"/>
        <v>0</v>
      </c>
      <c r="Z77" s="203">
        <f t="shared" si="11"/>
        <v>0</v>
      </c>
      <c r="AA77" s="203">
        <f t="shared" si="12"/>
        <v>-0.04912577362292529</v>
      </c>
      <c r="AB77" s="203">
        <f t="shared" si="13"/>
        <v>0.14663722137465546</v>
      </c>
      <c r="AC77" s="85">
        <f t="shared" si="122"/>
        <v>-0.04912577362292529</v>
      </c>
      <c r="AD77" s="85">
        <f t="shared" si="123"/>
        <v>0.14663722137465546</v>
      </c>
      <c r="AE77" s="85">
        <f t="shared" si="124"/>
        <v>0.15464739353293547</v>
      </c>
      <c r="AF77" s="205">
        <f t="shared" si="125"/>
        <v>0.14285714285714285</v>
      </c>
      <c r="AG77" s="85">
        <f t="shared" si="126"/>
        <v>227.47627673965525</v>
      </c>
      <c r="AH77" s="85">
        <f t="shared" si="127"/>
        <v>1.4967376954071223</v>
      </c>
      <c r="AI77" s="85">
        <f t="shared" si="128"/>
        <v>-112.8408813203222</v>
      </c>
      <c r="AJ77" s="85">
        <f t="shared" si="129"/>
        <v>-198.1108814640961</v>
      </c>
      <c r="AK77" s="85">
        <f t="shared" si="130"/>
        <v>-115.35138997748226</v>
      </c>
      <c r="AL77" s="85">
        <f t="shared" si="131"/>
        <v>196.3527236879899</v>
      </c>
      <c r="AM77" s="97">
        <f t="shared" si="132"/>
        <v>227.48120076847027</v>
      </c>
      <c r="AN77" s="97">
        <f t="shared" si="133"/>
        <v>227.99338992968237</v>
      </c>
      <c r="AO77" s="105">
        <f t="shared" si="134"/>
        <v>227.72864393709744</v>
      </c>
      <c r="AP77" s="1"/>
      <c r="AQ77" s="191">
        <f t="shared" si="27"/>
        <v>0</v>
      </c>
      <c r="AR77" s="185">
        <f t="shared" si="28"/>
        <v>0</v>
      </c>
      <c r="AS77" s="185">
        <f t="shared" si="29"/>
        <v>0</v>
      </c>
      <c r="AT77" s="185">
        <f t="shared" si="30"/>
        <v>0</v>
      </c>
      <c r="AU77" s="185">
        <f t="shared" si="31"/>
        <v>34.459344082075894</v>
      </c>
      <c r="AV77" s="185">
        <f t="shared" si="32"/>
        <v>-7.268827853861286</v>
      </c>
      <c r="AW77" s="192">
        <f t="shared" si="33"/>
        <v>0.0344593440820759</v>
      </c>
      <c r="AX77" s="192">
        <f t="shared" si="34"/>
        <v>-0.007268827853861286</v>
      </c>
      <c r="AY77" s="193">
        <f t="shared" si="35"/>
        <v>0.03521764121766205</v>
      </c>
      <c r="BA77" s="199">
        <f t="shared" si="36"/>
        <v>0.006833090379008746</v>
      </c>
    </row>
    <row r="78" spans="1:53" ht="12">
      <c r="A78" s="49" t="s">
        <v>158</v>
      </c>
      <c r="B78" s="39" t="str">
        <f t="shared" si="115"/>
        <v>CAJAS MEGA</v>
      </c>
      <c r="C78" s="39" t="s">
        <v>60</v>
      </c>
      <c r="D78" s="95" t="s">
        <v>128</v>
      </c>
      <c r="E78" s="137">
        <v>0.035</v>
      </c>
      <c r="F78" s="40">
        <v>0.98</v>
      </c>
      <c r="G78" s="40">
        <v>1</v>
      </c>
      <c r="H78" s="89">
        <f t="shared" si="95"/>
        <v>10</v>
      </c>
      <c r="I78" s="138">
        <v>20</v>
      </c>
      <c r="J78" s="39" t="s">
        <v>230</v>
      </c>
      <c r="K78" s="41">
        <v>5</v>
      </c>
      <c r="L78" s="40">
        <v>1</v>
      </c>
      <c r="M78" s="41" t="s">
        <v>245</v>
      </c>
      <c r="N78" s="39">
        <v>2.5</v>
      </c>
      <c r="O78" s="89">
        <f t="shared" si="116"/>
        <v>20</v>
      </c>
      <c r="P78" s="63">
        <f t="shared" si="117"/>
        <v>21</v>
      </c>
      <c r="Q78" s="88">
        <f t="shared" si="20"/>
        <v>99.26358384031936</v>
      </c>
      <c r="R78" s="29">
        <f t="shared" si="118"/>
        <v>3.50214920660099</v>
      </c>
      <c r="S78" s="35">
        <f t="shared" si="4"/>
        <v>1.5164750903799868</v>
      </c>
      <c r="T78" s="85">
        <f t="shared" si="119"/>
        <v>0.035</v>
      </c>
      <c r="U78" s="85">
        <f t="shared" si="120"/>
        <v>0.007107053122190148</v>
      </c>
      <c r="V78" s="110">
        <f t="shared" si="121"/>
        <v>0.15464739353293547</v>
      </c>
      <c r="W78" s="203">
        <f t="shared" si="8"/>
        <v>0.15155444566227674</v>
      </c>
      <c r="X78" s="203">
        <f t="shared" si="9"/>
        <v>-0.030774442749310887</v>
      </c>
      <c r="Y78" s="203">
        <f t="shared" si="10"/>
        <v>0</v>
      </c>
      <c r="Z78" s="203">
        <f t="shared" si="11"/>
        <v>0</v>
      </c>
      <c r="AA78" s="203">
        <f t="shared" si="12"/>
        <v>0</v>
      </c>
      <c r="AB78" s="203">
        <f t="shared" si="13"/>
        <v>0</v>
      </c>
      <c r="AC78" s="85">
        <f t="shared" si="122"/>
        <v>0.15155444566227674</v>
      </c>
      <c r="AD78" s="85">
        <f t="shared" si="123"/>
        <v>-0.030774442749310887</v>
      </c>
      <c r="AE78" s="85">
        <f t="shared" si="124"/>
        <v>0.15464739353293547</v>
      </c>
      <c r="AF78" s="205">
        <f t="shared" si="125"/>
        <v>0.14285714285714285</v>
      </c>
      <c r="AG78" s="85">
        <f t="shared" si="126"/>
        <v>227.43297546946602</v>
      </c>
      <c r="AH78" s="85">
        <f t="shared" si="127"/>
        <v>1.5055303933354969</v>
      </c>
      <c r="AI78" s="85">
        <f t="shared" si="128"/>
        <v>-112.8408813203222</v>
      </c>
      <c r="AJ78" s="85">
        <f t="shared" si="129"/>
        <v>-198.1108814640961</v>
      </c>
      <c r="AK78" s="85">
        <f t="shared" si="130"/>
        <v>-115.36542591280309</v>
      </c>
      <c r="AL78" s="85">
        <f t="shared" si="131"/>
        <v>196.3946200369541</v>
      </c>
      <c r="AM78" s="97">
        <f t="shared" si="132"/>
        <v>227.43795846924934</v>
      </c>
      <c r="AN78" s="97">
        <f t="shared" si="133"/>
        <v>227.99338992968237</v>
      </c>
      <c r="AO78" s="105">
        <f t="shared" si="134"/>
        <v>227.77187770991844</v>
      </c>
      <c r="AP78" s="1"/>
      <c r="AQ78" s="191">
        <f t="shared" si="27"/>
        <v>34.42214666370006</v>
      </c>
      <c r="AR78" s="185">
        <f t="shared" si="28"/>
        <v>-7.22729290708018</v>
      </c>
      <c r="AS78" s="185">
        <f t="shared" si="29"/>
        <v>0</v>
      </c>
      <c r="AT78" s="185">
        <f t="shared" si="30"/>
        <v>0</v>
      </c>
      <c r="AU78" s="185">
        <f t="shared" si="31"/>
        <v>0</v>
      </c>
      <c r="AV78" s="185">
        <f t="shared" si="32"/>
        <v>0</v>
      </c>
      <c r="AW78" s="192">
        <f t="shared" si="33"/>
        <v>0.03442214666370006</v>
      </c>
      <c r="AX78" s="192">
        <f t="shared" si="34"/>
        <v>-0.00722729290708018</v>
      </c>
      <c r="AY78" s="193">
        <f t="shared" si="35"/>
        <v>0.03517268746772144</v>
      </c>
      <c r="BA78" s="199">
        <f t="shared" si="36"/>
        <v>0.006833090379008744</v>
      </c>
    </row>
    <row r="79" spans="1:53" ht="12">
      <c r="A79" s="49" t="s">
        <v>159</v>
      </c>
      <c r="B79" s="39" t="str">
        <f t="shared" si="115"/>
        <v>CAJAS MEGA</v>
      </c>
      <c r="C79" s="39" t="s">
        <v>61</v>
      </c>
      <c r="D79" s="95" t="s">
        <v>129</v>
      </c>
      <c r="E79" s="137">
        <v>0.07</v>
      </c>
      <c r="F79" s="40">
        <v>0.98</v>
      </c>
      <c r="G79" s="40">
        <v>1</v>
      </c>
      <c r="H79" s="89">
        <f t="shared" si="95"/>
        <v>10</v>
      </c>
      <c r="I79" s="138">
        <v>20</v>
      </c>
      <c r="J79" s="39" t="s">
        <v>231</v>
      </c>
      <c r="K79" s="41">
        <v>5</v>
      </c>
      <c r="L79" s="40">
        <v>1</v>
      </c>
      <c r="M79" s="41" t="s">
        <v>245</v>
      </c>
      <c r="N79" s="39">
        <v>2.5</v>
      </c>
      <c r="O79" s="89">
        <f t="shared" si="116"/>
        <v>20</v>
      </c>
      <c r="P79" s="63">
        <f t="shared" si="117"/>
        <v>21</v>
      </c>
      <c r="Q79" s="88">
        <f t="shared" si="20"/>
        <v>98.52716768063871</v>
      </c>
      <c r="R79" s="29">
        <f t="shared" si="118"/>
        <v>3.033215322384933</v>
      </c>
      <c r="S79" s="35">
        <f t="shared" si="4"/>
        <v>1.3134207621667788</v>
      </c>
      <c r="T79" s="85">
        <f t="shared" si="119"/>
        <v>0.07</v>
      </c>
      <c r="U79" s="85">
        <f t="shared" si="120"/>
        <v>0.014214106244380296</v>
      </c>
      <c r="V79" s="110">
        <f t="shared" si="121"/>
        <v>0.30929478706587094</v>
      </c>
      <c r="W79" s="203">
        <f t="shared" si="8"/>
        <v>0</v>
      </c>
      <c r="X79" s="203">
        <f t="shared" si="9"/>
        <v>0</v>
      </c>
      <c r="Y79" s="203">
        <f t="shared" si="10"/>
        <v>-0.20485734407870285</v>
      </c>
      <c r="Z79" s="203">
        <f t="shared" si="11"/>
        <v>-0.2317255572506891</v>
      </c>
      <c r="AA79" s="203">
        <f t="shared" si="12"/>
        <v>0</v>
      </c>
      <c r="AB79" s="203">
        <f t="shared" si="13"/>
        <v>0</v>
      </c>
      <c r="AC79" s="85">
        <f t="shared" si="122"/>
        <v>-0.20485734407870285</v>
      </c>
      <c r="AD79" s="85">
        <f t="shared" si="123"/>
        <v>-0.2317255572506891</v>
      </c>
      <c r="AE79" s="85">
        <f t="shared" si="124"/>
        <v>0.30929478706587094</v>
      </c>
      <c r="AF79" s="205">
        <f t="shared" si="125"/>
        <v>0.14285714285714285</v>
      </c>
      <c r="AG79" s="85">
        <f t="shared" si="126"/>
        <v>227.47627673965525</v>
      </c>
      <c r="AH79" s="85">
        <f t="shared" si="127"/>
        <v>1.4967376954071223</v>
      </c>
      <c r="AI79" s="85">
        <f t="shared" si="128"/>
        <v>-112.78235065058543</v>
      </c>
      <c r="AJ79" s="85">
        <f t="shared" si="129"/>
        <v>-198.04467416202448</v>
      </c>
      <c r="AK79" s="85">
        <f t="shared" si="130"/>
        <v>-115.36542591280309</v>
      </c>
      <c r="AL79" s="85">
        <f t="shared" si="131"/>
        <v>196.3946200369541</v>
      </c>
      <c r="AM79" s="97">
        <f t="shared" si="132"/>
        <v>227.48120076847027</v>
      </c>
      <c r="AN79" s="97">
        <f t="shared" si="133"/>
        <v>227.9068923534654</v>
      </c>
      <c r="AO79" s="105">
        <f t="shared" si="134"/>
        <v>227.77187770991844</v>
      </c>
      <c r="AP79" s="1"/>
      <c r="AQ79" s="191">
        <f t="shared" si="27"/>
        <v>0</v>
      </c>
      <c r="AR79" s="185">
        <f t="shared" si="28"/>
        <v>0</v>
      </c>
      <c r="AS79" s="185">
        <f t="shared" si="29"/>
        <v>68.99630529395816</v>
      </c>
      <c r="AT79" s="185">
        <f t="shared" si="30"/>
        <v>-14.43635290521491</v>
      </c>
      <c r="AU79" s="185">
        <f t="shared" si="31"/>
        <v>0</v>
      </c>
      <c r="AV79" s="185">
        <f t="shared" si="32"/>
        <v>0</v>
      </c>
      <c r="AW79" s="192">
        <f t="shared" si="33"/>
        <v>0.06899630529395816</v>
      </c>
      <c r="AX79" s="192">
        <f t="shared" si="34"/>
        <v>-0.014436352905214911</v>
      </c>
      <c r="AY79" s="193">
        <f t="shared" si="35"/>
        <v>0.07049041374130943</v>
      </c>
      <c r="BA79" s="199">
        <f t="shared" si="36"/>
        <v>0.02733236151603498</v>
      </c>
    </row>
    <row r="80" spans="1:53" ht="12">
      <c r="A80" s="49" t="s">
        <v>160</v>
      </c>
      <c r="B80" s="39" t="str">
        <f t="shared" si="115"/>
        <v>CAJAS MEGA</v>
      </c>
      <c r="C80" s="39" t="s">
        <v>62</v>
      </c>
      <c r="D80" s="95" t="s">
        <v>130</v>
      </c>
      <c r="E80" s="137">
        <v>0.07</v>
      </c>
      <c r="F80" s="40">
        <v>0.98</v>
      </c>
      <c r="G80" s="40">
        <v>1</v>
      </c>
      <c r="H80" s="89">
        <f>VLOOKUP(AE80,Protecciones,2)</f>
        <v>10</v>
      </c>
      <c r="I80" s="138">
        <v>20</v>
      </c>
      <c r="J80" s="39" t="s">
        <v>232</v>
      </c>
      <c r="K80" s="41">
        <v>5</v>
      </c>
      <c r="L80" s="40">
        <v>1</v>
      </c>
      <c r="M80" s="41" t="s">
        <v>245</v>
      </c>
      <c r="N80" s="39">
        <v>2.5</v>
      </c>
      <c r="O80" s="89">
        <f>IF(I80,VLOOKUP(N80,TUBOS,IF(OR(J80="RST",J80=""),3,2)),"")</f>
        <v>20</v>
      </c>
      <c r="P80" s="63">
        <f>IF(I80,VLOOKUP(N80,Imax_RBT,K80+1)*L80,"")</f>
        <v>21</v>
      </c>
      <c r="Q80" s="88">
        <f>IF(I80,IF(AE80&lt;=P80,100-AE80/P80*100,ROUND(100-AE80/P80*100,0)&amp;"Err"),"")</f>
        <v>98.52716768063871</v>
      </c>
      <c r="R80" s="29">
        <f>IF(J80="R",$S$8-AM80+$S$9,IF(J80="S",$S$8-AN80+$S$9,IF(J80="T",$S$8-AO80+$S$9,$S$8-MIN(AM80:AO80)+$S$9)))</f>
        <v>3.2546971463663397</v>
      </c>
      <c r="S80" s="35">
        <f t="shared" si="4"/>
        <v>1.4093252051889846</v>
      </c>
      <c r="T80" s="85">
        <f>IF(ISBLANK(E80),SUMIF(INI,C80,POT_RESULT),E80*G80)</f>
        <v>0.07</v>
      </c>
      <c r="U80" s="85">
        <f>IF(ISBLANK(E80),"",TAN(ACOS(F80))*T80)</f>
        <v>0.014214106244380296</v>
      </c>
      <c r="V80" s="110">
        <f>IF(ISBLANK(J80),"",G80*IF(J80="RST",E80*1000/SQRT(3)/$S$7/F80,E80*1000/$S$8/F80))</f>
        <v>0.30929478706587094</v>
      </c>
      <c r="W80" s="203">
        <f t="shared" si="8"/>
        <v>0</v>
      </c>
      <c r="X80" s="203">
        <f t="shared" si="9"/>
        <v>0</v>
      </c>
      <c r="Y80" s="203">
        <f t="shared" si="10"/>
        <v>0</v>
      </c>
      <c r="Z80" s="203">
        <f t="shared" si="11"/>
        <v>0</v>
      </c>
      <c r="AA80" s="203">
        <f t="shared" si="12"/>
        <v>-0.09825154724585058</v>
      </c>
      <c r="AB80" s="203">
        <f t="shared" si="13"/>
        <v>0.2932744427493109</v>
      </c>
      <c r="AC80" s="85">
        <f aca="true" t="shared" si="135" ref="AC80:AD83">W80+Y80+AA80</f>
        <v>-0.09825154724585058</v>
      </c>
      <c r="AD80" s="85">
        <f t="shared" si="135"/>
        <v>0.2932744427493109</v>
      </c>
      <c r="AE80" s="85">
        <f>MAX(SQRT(W80^2+X80^2),SQRT(Y80^2+Z80^2),SQRT(AA80^2+AB80^2),SQRT(AC80^2+AD80^2))</f>
        <v>0.30929478706587094</v>
      </c>
      <c r="AF80" s="205">
        <f>IF(OR(M80=0,N80=0),0,IF(M80="Cu",I80/56/N80,I80/35/N80))</f>
        <v>0.14285714285714285</v>
      </c>
      <c r="AG80" s="85">
        <f>SUMIF(FIN,$B80,ac_R_Re)-IF(W80*X80&lt;&gt;0,$AF80*(W80+AC80))</f>
        <v>227.47627673965525</v>
      </c>
      <c r="AH80" s="85">
        <f>SUMIF(FIN,$B80,ac_R_Im)-IF(W80*X80&lt;&gt;0,$AF80*(X80+AD80))</f>
        <v>1.4967376954071223</v>
      </c>
      <c r="AI80" s="85">
        <f>SUMIF(FIN,B80,ac_S_Re)-IF(Y80*Z80&lt;&gt;0,$AF80*(Y80+AC80))</f>
        <v>-112.8408813203222</v>
      </c>
      <c r="AJ80" s="85">
        <f>SUMIF(FIN,B80,ac_S_Im)-IF(Y80*Z80&lt;&gt;0,AF80*(Z80+AD80))</f>
        <v>-198.1108814640961</v>
      </c>
      <c r="AK80" s="85">
        <f>SUMIF(FIN,B80,ac_T_Re)-IF(AA80*AB80&lt;&gt;0,AF80*(AA80+AC80))</f>
        <v>-115.33735404216142</v>
      </c>
      <c r="AL80" s="85">
        <f>SUMIF(FIN,B80,ac_T_Im)-IF(AA80*AB80&lt;&gt;0,AF80*(AB80+AD80))</f>
        <v>196.31082733902574</v>
      </c>
      <c r="AM80" s="97">
        <f>IF($K$10="Sí",SQRT(AG80^2+AH80^2),0)</f>
        <v>227.48120076847027</v>
      </c>
      <c r="AN80" s="97">
        <f>IF($L$10="Sí",SQRT(AI80^2+AJ80^2),0)</f>
        <v>227.99338992968237</v>
      </c>
      <c r="AO80" s="105">
        <f>IF($M$10="Sí",SQRT(AK80^2+AL80^2),0)</f>
        <v>227.685410529484</v>
      </c>
      <c r="AP80" s="1"/>
      <c r="AQ80" s="191">
        <f>AG80*W80+AH80*X80</f>
        <v>0</v>
      </c>
      <c r="AR80" s="185">
        <f>AG80*X80-AH80*W80</f>
        <v>0</v>
      </c>
      <c r="AS80" s="185">
        <f>AI80*Y80+AJ80*Z80</f>
        <v>0</v>
      </c>
      <c r="AT80" s="185">
        <f>AI80*Z80-AJ80*Y80</f>
        <v>0</v>
      </c>
      <c r="AU80" s="185">
        <f>AK80*AA80+AL80*AB80</f>
        <v>68.90502198339378</v>
      </c>
      <c r="AV80" s="185">
        <f>AK80*AB80-AL80*AA80</f>
        <v>-14.537655707722568</v>
      </c>
      <c r="AW80" s="192">
        <f aca="true" t="shared" si="136" ref="AW80:AX83">(AQ80+AS80+AU80)/1000</f>
        <v>0.06890502198339378</v>
      </c>
      <c r="AX80" s="192">
        <f t="shared" si="136"/>
        <v>-0.014537655707722568</v>
      </c>
      <c r="AY80" s="193">
        <f>SQRT(AW80^2+AX80^2)</f>
        <v>0.07042191056772217</v>
      </c>
      <c r="BA80" s="199">
        <f>AF80*(W80^2+X80^2+Y80^2+Z80^2+AA80^2+AB80^2+AC80^2+AD80^2)</f>
        <v>0.027332361516034985</v>
      </c>
    </row>
    <row r="81" spans="1:53" ht="12">
      <c r="A81" s="49" t="s">
        <v>161</v>
      </c>
      <c r="B81" s="39" t="str">
        <f t="shared" si="115"/>
        <v>CAJAS MEGA</v>
      </c>
      <c r="C81" s="39" t="s">
        <v>63</v>
      </c>
      <c r="D81" s="95" t="s">
        <v>131</v>
      </c>
      <c r="E81" s="137">
        <v>0.07</v>
      </c>
      <c r="F81" s="40">
        <v>0.98</v>
      </c>
      <c r="G81" s="40">
        <v>1</v>
      </c>
      <c r="H81" s="89">
        <f>VLOOKUP(AE81,Protecciones,2)</f>
        <v>10</v>
      </c>
      <c r="I81" s="138">
        <v>20</v>
      </c>
      <c r="J81" s="39" t="s">
        <v>230</v>
      </c>
      <c r="K81" s="41">
        <v>5</v>
      </c>
      <c r="L81" s="40">
        <v>1</v>
      </c>
      <c r="M81" s="41" t="s">
        <v>245</v>
      </c>
      <c r="N81" s="39">
        <v>2.5</v>
      </c>
      <c r="O81" s="89">
        <f>IF(I81,VLOOKUP(N81,TUBOS,IF(OR(J81="RST",J81=""),3,2)),"")</f>
        <v>20</v>
      </c>
      <c r="P81" s="63">
        <f>IF(I81,VLOOKUP(N81,Imax_RBT,K81+1)*L81,"")</f>
        <v>21</v>
      </c>
      <c r="Q81" s="88">
        <f>IF(I81,IF(AE81&lt;=P81,100-AE81/P81*100,ROUND(100-AE81/P81*100,0)&amp;"Err"),"")</f>
        <v>98.52716768063871</v>
      </c>
      <c r="R81" s="29">
        <f>IF(J81="R",$S$8-AM81+$S$9,IF(J81="S",$S$8-AN81+$S$9,IF(J81="T",$S$8-AO81+$S$9,$S$8-MIN(AM81:AO81)+$S$9)))</f>
        <v>3.545391143389992</v>
      </c>
      <c r="S81" s="35">
        <f t="shared" si="4"/>
        <v>1.5351993982640448</v>
      </c>
      <c r="T81" s="85">
        <f>IF(ISBLANK(E81),SUMIF(INI,C81,POT_RESULT),E81*G81)</f>
        <v>0.07</v>
      </c>
      <c r="U81" s="85">
        <f>IF(ISBLANK(E81),"",TAN(ACOS(F81))*T81)</f>
        <v>0.014214106244380296</v>
      </c>
      <c r="V81" s="110">
        <f>IF(ISBLANK(J81),"",G81*IF(J81="RST",E81*1000/SQRT(3)/$S$7/F81,E81*1000/$S$8/F81))</f>
        <v>0.30929478706587094</v>
      </c>
      <c r="W81" s="203">
        <f t="shared" si="8"/>
        <v>0.3031088913245535</v>
      </c>
      <c r="X81" s="203">
        <f t="shared" si="9"/>
        <v>-0.06154888549862177</v>
      </c>
      <c r="Y81" s="203">
        <f t="shared" si="10"/>
        <v>0</v>
      </c>
      <c r="Z81" s="203">
        <f t="shared" si="11"/>
        <v>0</v>
      </c>
      <c r="AA81" s="203">
        <f t="shared" si="12"/>
        <v>0</v>
      </c>
      <c r="AB81" s="203">
        <f t="shared" si="13"/>
        <v>0</v>
      </c>
      <c r="AC81" s="85">
        <f t="shared" si="135"/>
        <v>0.3031088913245535</v>
      </c>
      <c r="AD81" s="85">
        <f t="shared" si="135"/>
        <v>-0.06154888549862177</v>
      </c>
      <c r="AE81" s="85">
        <f>MAX(SQRT(W81^2+X81^2),SQRT(Y81^2+Z81^2),SQRT(AA81^2+AB81^2),SQRT(AC81^2+AD81^2))</f>
        <v>0.30929478706587094</v>
      </c>
      <c r="AF81" s="205">
        <f>IF(OR(M81=0,N81=0),0,IF(M81="Cu",I81/56/N81,I81/35/N81))</f>
        <v>0.14285714285714285</v>
      </c>
      <c r="AG81" s="85">
        <f>SUMIF(FIN,$B81,ac_R_Re)-IF(W81*X81&lt;&gt;0,$AF81*(W81+AC81))</f>
        <v>227.3896741992768</v>
      </c>
      <c r="AH81" s="85">
        <f>SUMIF(FIN,$B81,ac_R_Im)-IF(W81*X81&lt;&gt;0,$AF81*(X81+AD81))</f>
        <v>1.5143230912638714</v>
      </c>
      <c r="AI81" s="85">
        <f>SUMIF(FIN,B81,ac_S_Re)-IF(Y81*Z81&lt;&gt;0,$AF81*(Y81+AC81))</f>
        <v>-112.8408813203222</v>
      </c>
      <c r="AJ81" s="85">
        <f>SUMIF(FIN,B81,ac_S_Im)-IF(Y81*Z81&lt;&gt;0,AF81*(Z81+AD81))</f>
        <v>-198.1108814640961</v>
      </c>
      <c r="AK81" s="85">
        <f>SUMIF(FIN,B81,ac_T_Re)-IF(AA81*AB81&lt;&gt;0,AF81*(AA81+AC81))</f>
        <v>-115.36542591280309</v>
      </c>
      <c r="AL81" s="85">
        <f>SUMIF(FIN,B81,ac_T_Im)-IF(AA81*AB81&lt;&gt;0,AF81*(AB81+AD81))</f>
        <v>196.3946200369541</v>
      </c>
      <c r="AM81" s="97">
        <f>IF($K$10="Sí",SQRT(AG81^2+AH81^2),0)</f>
        <v>227.39471653246034</v>
      </c>
      <c r="AN81" s="97">
        <f>IF($L$10="Sí",SQRT(AI81^2+AJ81^2),0)</f>
        <v>227.99338992968237</v>
      </c>
      <c r="AO81" s="105">
        <f>IF($M$10="Sí",SQRT(AK81^2+AL81^2),0)</f>
        <v>227.77187770991844</v>
      </c>
      <c r="AP81" s="1"/>
      <c r="AQ81" s="191">
        <f>AG81*W81+AH81*X81</f>
        <v>68.8306271466421</v>
      </c>
      <c r="AR81" s="185">
        <f>AG81*X81-AH81*W81</f>
        <v>-14.454585814160362</v>
      </c>
      <c r="AS81" s="185">
        <f>AI81*Y81+AJ81*Z81</f>
        <v>0</v>
      </c>
      <c r="AT81" s="185">
        <f>AI81*Z81-AJ81*Y81</f>
        <v>0</v>
      </c>
      <c r="AU81" s="185">
        <f>AK81*AA81+AL81*AB81</f>
        <v>0</v>
      </c>
      <c r="AV81" s="185">
        <f>AK81*AB81-AL81*AA81</f>
        <v>0</v>
      </c>
      <c r="AW81" s="192">
        <f t="shared" si="136"/>
        <v>0.0688306271466421</v>
      </c>
      <c r="AX81" s="192">
        <f t="shared" si="136"/>
        <v>-0.014454585814160361</v>
      </c>
      <c r="AY81" s="193">
        <f>SQRT(AW81^2+AX81^2)</f>
        <v>0.0703320004298114</v>
      </c>
      <c r="BA81" s="199">
        <f>AF81*(W81^2+X81^2+Y81^2+Z81^2+AA81^2+AB81^2+AC81^2+AD81^2)</f>
        <v>0.027332361516034975</v>
      </c>
    </row>
    <row r="82" spans="1:53" ht="12">
      <c r="A82" s="49" t="s">
        <v>162</v>
      </c>
      <c r="B82" s="39" t="str">
        <f t="shared" si="115"/>
        <v>CAJAS MEGA</v>
      </c>
      <c r="C82" s="39" t="s">
        <v>64</v>
      </c>
      <c r="D82" s="95" t="s">
        <v>132</v>
      </c>
      <c r="E82" s="137">
        <v>0.07</v>
      </c>
      <c r="F82" s="40">
        <v>0.98</v>
      </c>
      <c r="G82" s="40">
        <v>1</v>
      </c>
      <c r="H82" s="89">
        <f>VLOOKUP(AE82,Protecciones,2)</f>
        <v>10</v>
      </c>
      <c r="I82" s="138">
        <v>20</v>
      </c>
      <c r="J82" s="39" t="s">
        <v>231</v>
      </c>
      <c r="K82" s="41">
        <v>5</v>
      </c>
      <c r="L82" s="40">
        <v>1</v>
      </c>
      <c r="M82" s="41" t="s">
        <v>245</v>
      </c>
      <c r="N82" s="39">
        <v>2.5</v>
      </c>
      <c r="O82" s="89">
        <f>IF(I82,VLOOKUP(N82,TUBOS,IF(OR(J82="RST",J82=""),3,2)),"")</f>
        <v>20</v>
      </c>
      <c r="P82" s="63">
        <f>IF(I82,VLOOKUP(N82,Imax_RBT,K82+1)*L82,"")</f>
        <v>21</v>
      </c>
      <c r="Q82" s="88">
        <f>IF(I82,IF(AE82&lt;=P82,100-AE82/P82*100,ROUND(100-AE82/P82*100,0)&amp;"Err"),"")</f>
        <v>98.52716768063871</v>
      </c>
      <c r="R82" s="29">
        <f>IF(J82="R",$S$8-AM82+$S$9,IF(J82="S",$S$8-AN82+$S$9,IF(J82="T",$S$8-AO82+$S$9,$S$8-MIN(AM82:AO82)+$S$9)))</f>
        <v>3.033215322384933</v>
      </c>
      <c r="S82" s="35">
        <f t="shared" si="4"/>
        <v>1.3134207621667788</v>
      </c>
      <c r="T82" s="85">
        <f>IF(ISBLANK(E82),SUMIF(INI,C82,POT_RESULT),E82*G82)</f>
        <v>0.07</v>
      </c>
      <c r="U82" s="85">
        <f>IF(ISBLANK(E82),"",TAN(ACOS(F82))*T82)</f>
        <v>0.014214106244380296</v>
      </c>
      <c r="V82" s="110">
        <f>IF(ISBLANK(J82),"",G82*IF(J82="RST",E82*1000/SQRT(3)/$S$7/F82,E82*1000/$S$8/F82))</f>
        <v>0.30929478706587094</v>
      </c>
      <c r="W82" s="203">
        <f t="shared" si="8"/>
        <v>0</v>
      </c>
      <c r="X82" s="203">
        <f t="shared" si="9"/>
        <v>0</v>
      </c>
      <c r="Y82" s="203">
        <f t="shared" si="10"/>
        <v>-0.20485734407870285</v>
      </c>
      <c r="Z82" s="203">
        <f t="shared" si="11"/>
        <v>-0.2317255572506891</v>
      </c>
      <c r="AA82" s="203">
        <f t="shared" si="12"/>
        <v>0</v>
      </c>
      <c r="AB82" s="203">
        <f t="shared" si="13"/>
        <v>0</v>
      </c>
      <c r="AC82" s="85">
        <f t="shared" si="135"/>
        <v>-0.20485734407870285</v>
      </c>
      <c r="AD82" s="85">
        <f t="shared" si="135"/>
        <v>-0.2317255572506891</v>
      </c>
      <c r="AE82" s="85">
        <f>MAX(SQRT(W82^2+X82^2),SQRT(Y82^2+Z82^2),SQRT(AA82^2+AB82^2),SQRT(AC82^2+AD82^2))</f>
        <v>0.30929478706587094</v>
      </c>
      <c r="AF82" s="205">
        <f>IF(OR(M82=0,N82=0),0,IF(M82="Cu",I82/56/N82,I82/35/N82))</f>
        <v>0.14285714285714285</v>
      </c>
      <c r="AG82" s="85">
        <f>SUMIF(FIN,$B82,ac_R_Re)-IF(W82*X82&lt;&gt;0,$AF82*(W82+AC82))</f>
        <v>227.47627673965525</v>
      </c>
      <c r="AH82" s="85">
        <f>SUMIF(FIN,$B82,ac_R_Im)-IF(W82*X82&lt;&gt;0,$AF82*(X82+AD82))</f>
        <v>1.4967376954071223</v>
      </c>
      <c r="AI82" s="85">
        <f>SUMIF(FIN,B82,ac_S_Re)-IF(Y82*Z82&lt;&gt;0,$AF82*(Y82+AC82))</f>
        <v>-112.78235065058543</v>
      </c>
      <c r="AJ82" s="85">
        <f>SUMIF(FIN,B82,ac_S_Im)-IF(Y82*Z82&lt;&gt;0,AF82*(Z82+AD82))</f>
        <v>-198.04467416202448</v>
      </c>
      <c r="AK82" s="85">
        <f>SUMIF(FIN,B82,ac_T_Re)-IF(AA82*AB82&lt;&gt;0,AF82*(AA82+AC82))</f>
        <v>-115.36542591280309</v>
      </c>
      <c r="AL82" s="85">
        <f>SUMIF(FIN,B82,ac_T_Im)-IF(AA82*AB82&lt;&gt;0,AF82*(AB82+AD82))</f>
        <v>196.3946200369541</v>
      </c>
      <c r="AM82" s="97">
        <f>IF($K$10="Sí",SQRT(AG82^2+AH82^2),0)</f>
        <v>227.48120076847027</v>
      </c>
      <c r="AN82" s="97">
        <f>IF($L$10="Sí",SQRT(AI82^2+AJ82^2),0)</f>
        <v>227.9068923534654</v>
      </c>
      <c r="AO82" s="105">
        <f>IF($M$10="Sí",SQRT(AK82^2+AL82^2),0)</f>
        <v>227.77187770991844</v>
      </c>
      <c r="AP82" s="1"/>
      <c r="AQ82" s="191">
        <f>AG82*W82+AH82*X82</f>
        <v>0</v>
      </c>
      <c r="AR82" s="185">
        <f>AG82*X82-AH82*W82</f>
        <v>0</v>
      </c>
      <c r="AS82" s="185">
        <f>AI82*Y82+AJ82*Z82</f>
        <v>68.99630529395816</v>
      </c>
      <c r="AT82" s="185">
        <f>AI82*Z82-AJ82*Y82</f>
        <v>-14.43635290521491</v>
      </c>
      <c r="AU82" s="185">
        <f>AK82*AA82+AL82*AB82</f>
        <v>0</v>
      </c>
      <c r="AV82" s="185">
        <f>AK82*AB82-AL82*AA82</f>
        <v>0</v>
      </c>
      <c r="AW82" s="192">
        <f t="shared" si="136"/>
        <v>0.06899630529395816</v>
      </c>
      <c r="AX82" s="192">
        <f t="shared" si="136"/>
        <v>-0.014436352905214911</v>
      </c>
      <c r="AY82" s="193">
        <f>SQRT(AW82^2+AX82^2)</f>
        <v>0.07049041374130943</v>
      </c>
      <c r="BA82" s="199">
        <f>AF82*(W82^2+X82^2+Y82^2+Z82^2+AA82^2+AB82^2+AC82^2+AD82^2)</f>
        <v>0.02733236151603498</v>
      </c>
    </row>
    <row r="83" spans="1:53" ht="12">
      <c r="A83" s="49" t="s">
        <v>163</v>
      </c>
      <c r="B83" s="39" t="str">
        <f t="shared" si="115"/>
        <v>CAJAS MEGA</v>
      </c>
      <c r="C83" s="39" t="s">
        <v>65</v>
      </c>
      <c r="D83" s="95" t="s">
        <v>133</v>
      </c>
      <c r="E83" s="137">
        <v>0.07</v>
      </c>
      <c r="F83" s="40">
        <v>0.98</v>
      </c>
      <c r="G83" s="40">
        <v>1</v>
      </c>
      <c r="H83" s="89">
        <f>VLOOKUP(AE83,Protecciones,2)</f>
        <v>10</v>
      </c>
      <c r="I83" s="138">
        <v>20</v>
      </c>
      <c r="J83" s="39" t="s">
        <v>232</v>
      </c>
      <c r="K83" s="41">
        <v>5</v>
      </c>
      <c r="L83" s="40">
        <v>1</v>
      </c>
      <c r="M83" s="41" t="s">
        <v>245</v>
      </c>
      <c r="N83" s="39">
        <v>2.5</v>
      </c>
      <c r="O83" s="89">
        <f>IF(I83,VLOOKUP(N83,TUBOS,IF(OR(J83="RST",J83=""),3,2)),"")</f>
        <v>20</v>
      </c>
      <c r="P83" s="63">
        <f>IF(I83,VLOOKUP(N83,Imax_RBT,K83+1)*L83,"")</f>
        <v>21</v>
      </c>
      <c r="Q83" s="88">
        <f>IF(I83,IF(AE83&lt;=P83,100-AE83/P83*100,ROUND(100-AE83/P83*100,0)&amp;"Err"),"")</f>
        <v>98.52716768063871</v>
      </c>
      <c r="R83" s="29">
        <f>IF(J83="R",$S$8-AM83+$S$9,IF(J83="S",$S$8-AN83+$S$9,IF(J83="T",$S$8-AO83+$S$9,$S$8-MIN(AM83:AO83)+$S$9)))</f>
        <v>3.2546971463663397</v>
      </c>
      <c r="S83" s="35">
        <f t="shared" si="4"/>
        <v>1.4093252051889846</v>
      </c>
      <c r="T83" s="85">
        <f>IF(ISBLANK(E83),SUMIF(INI,C83,POT_RESULT),E83*G83)</f>
        <v>0.07</v>
      </c>
      <c r="U83" s="85">
        <f>IF(ISBLANK(E83),"",TAN(ACOS(F83))*T83)</f>
        <v>0.014214106244380296</v>
      </c>
      <c r="V83" s="110">
        <f>IF(ISBLANK(J83),"",G83*IF(J83="RST",E83*1000/SQRT(3)/$S$7/F83,E83*1000/$S$8/F83))</f>
        <v>0.30929478706587094</v>
      </c>
      <c r="W83" s="203">
        <f t="shared" si="8"/>
        <v>0</v>
      </c>
      <c r="X83" s="203">
        <f t="shared" si="9"/>
        <v>0</v>
      </c>
      <c r="Y83" s="203">
        <f t="shared" si="10"/>
        <v>0</v>
      </c>
      <c r="Z83" s="203">
        <f t="shared" si="11"/>
        <v>0</v>
      </c>
      <c r="AA83" s="203">
        <f t="shared" si="12"/>
        <v>-0.09825154724585058</v>
      </c>
      <c r="AB83" s="203">
        <f t="shared" si="13"/>
        <v>0.2932744427493109</v>
      </c>
      <c r="AC83" s="85">
        <f t="shared" si="135"/>
        <v>-0.09825154724585058</v>
      </c>
      <c r="AD83" s="85">
        <f t="shared" si="135"/>
        <v>0.2932744427493109</v>
      </c>
      <c r="AE83" s="85">
        <f>MAX(SQRT(W83^2+X83^2),SQRT(Y83^2+Z83^2),SQRT(AA83^2+AB83^2),SQRT(AC83^2+AD83^2))</f>
        <v>0.30929478706587094</v>
      </c>
      <c r="AF83" s="205">
        <f>IF(OR(M83=0,N83=0),0,IF(M83="Cu",I83/56/N83,I83/35/N83))</f>
        <v>0.14285714285714285</v>
      </c>
      <c r="AG83" s="85">
        <f>SUMIF(FIN,$B83,ac_R_Re)-IF(W83*X83&lt;&gt;0,$AF83*(W83+AC83))</f>
        <v>227.47627673965525</v>
      </c>
      <c r="AH83" s="85">
        <f>SUMIF(FIN,$B83,ac_R_Im)-IF(W83*X83&lt;&gt;0,$AF83*(X83+AD83))</f>
        <v>1.4967376954071223</v>
      </c>
      <c r="AI83" s="85">
        <f>SUMIF(FIN,B83,ac_S_Re)-IF(Y83*Z83&lt;&gt;0,$AF83*(Y83+AC83))</f>
        <v>-112.8408813203222</v>
      </c>
      <c r="AJ83" s="85">
        <f>SUMIF(FIN,B83,ac_S_Im)-IF(Y83*Z83&lt;&gt;0,AF83*(Z83+AD83))</f>
        <v>-198.1108814640961</v>
      </c>
      <c r="AK83" s="85">
        <f>SUMIF(FIN,B83,ac_T_Re)-IF(AA83*AB83&lt;&gt;0,AF83*(AA83+AC83))</f>
        <v>-115.33735404216142</v>
      </c>
      <c r="AL83" s="85">
        <f>SUMIF(FIN,B83,ac_T_Im)-IF(AA83*AB83&lt;&gt;0,AF83*(AB83+AD83))</f>
        <v>196.31082733902574</v>
      </c>
      <c r="AM83" s="97">
        <f>IF($K$10="Sí",SQRT(AG83^2+AH83^2),0)</f>
        <v>227.48120076847027</v>
      </c>
      <c r="AN83" s="97">
        <f>IF($L$10="Sí",SQRT(AI83^2+AJ83^2),0)</f>
        <v>227.99338992968237</v>
      </c>
      <c r="AO83" s="105">
        <f>IF($M$10="Sí",SQRT(AK83^2+AL83^2),0)</f>
        <v>227.685410529484</v>
      </c>
      <c r="AP83" s="1"/>
      <c r="AQ83" s="191">
        <f>AG83*W83+AH83*X83</f>
        <v>0</v>
      </c>
      <c r="AR83" s="185">
        <f>AG83*X83-AH83*W83</f>
        <v>0</v>
      </c>
      <c r="AS83" s="185">
        <f>AI83*Y83+AJ83*Z83</f>
        <v>0</v>
      </c>
      <c r="AT83" s="185">
        <f>AI83*Z83-AJ83*Y83</f>
        <v>0</v>
      </c>
      <c r="AU83" s="185">
        <f>AK83*AA83+AL83*AB83</f>
        <v>68.90502198339378</v>
      </c>
      <c r="AV83" s="185">
        <f>AK83*AB83-AL83*AA83</f>
        <v>-14.537655707722568</v>
      </c>
      <c r="AW83" s="192">
        <f t="shared" si="136"/>
        <v>0.06890502198339378</v>
      </c>
      <c r="AX83" s="192">
        <f t="shared" si="136"/>
        <v>-0.014537655707722568</v>
      </c>
      <c r="AY83" s="193">
        <f>SQRT(AW83^2+AX83^2)</f>
        <v>0.07042191056772217</v>
      </c>
      <c r="BA83" s="199">
        <f>AF83*(W83^2+X83^2+Y83^2+Z83^2+AA83^2+AB83^2+AC83^2+AD83^2)</f>
        <v>0.027332361516034985</v>
      </c>
    </row>
    <row r="84" spans="1:53" ht="12">
      <c r="A84" s="49"/>
      <c r="B84" s="95"/>
      <c r="C84" s="95"/>
      <c r="D84" s="113"/>
      <c r="E84" s="138"/>
      <c r="F84" s="40"/>
      <c r="G84" s="40"/>
      <c r="H84" s="89"/>
      <c r="I84" s="138"/>
      <c r="J84" s="39"/>
      <c r="K84" s="41"/>
      <c r="L84" s="40"/>
      <c r="M84" s="41"/>
      <c r="N84" s="39"/>
      <c r="O84" s="89"/>
      <c r="P84" s="63"/>
      <c r="Q84" s="88"/>
      <c r="R84" s="29"/>
      <c r="S84" s="35"/>
      <c r="T84" s="85"/>
      <c r="U84" s="85"/>
      <c r="V84" s="110"/>
      <c r="W84" s="203"/>
      <c r="X84" s="203"/>
      <c r="Y84" s="203"/>
      <c r="Z84" s="203"/>
      <c r="AA84" s="203"/>
      <c r="AB84" s="203"/>
      <c r="AC84" s="85"/>
      <c r="AD84" s="85"/>
      <c r="AE84" s="85"/>
      <c r="AF84" s="205"/>
      <c r="AG84" s="85"/>
      <c r="AH84" s="85"/>
      <c r="AI84" s="85"/>
      <c r="AJ84" s="85"/>
      <c r="AK84" s="85"/>
      <c r="AL84" s="85"/>
      <c r="AM84" s="97"/>
      <c r="AN84" s="97"/>
      <c r="AO84" s="105"/>
      <c r="AP84" s="1"/>
      <c r="AQ84" s="191"/>
      <c r="AR84" s="185"/>
      <c r="AS84" s="185"/>
      <c r="AT84" s="185"/>
      <c r="AU84" s="185"/>
      <c r="AV84" s="185"/>
      <c r="AW84" s="192"/>
      <c r="AX84" s="192"/>
      <c r="AY84" s="193"/>
      <c r="BA84" s="199"/>
    </row>
    <row r="85" spans="1:53" ht="12">
      <c r="A85" s="49"/>
      <c r="B85" s="95"/>
      <c r="C85" s="95"/>
      <c r="D85" s="113"/>
      <c r="E85" s="138"/>
      <c r="F85" s="40"/>
      <c r="G85" s="40"/>
      <c r="H85" s="89"/>
      <c r="I85" s="138"/>
      <c r="J85" s="39"/>
      <c r="K85" s="41"/>
      <c r="L85" s="40"/>
      <c r="M85" s="41"/>
      <c r="N85" s="39"/>
      <c r="O85" s="89"/>
      <c r="P85" s="63"/>
      <c r="Q85" s="88"/>
      <c r="R85" s="29"/>
      <c r="S85" s="35"/>
      <c r="T85" s="85"/>
      <c r="U85" s="85"/>
      <c r="V85" s="110"/>
      <c r="W85" s="203"/>
      <c r="X85" s="203"/>
      <c r="Y85" s="203"/>
      <c r="Z85" s="203"/>
      <c r="AA85" s="203"/>
      <c r="AB85" s="203"/>
      <c r="AC85" s="85"/>
      <c r="AD85" s="85"/>
      <c r="AE85" s="85"/>
      <c r="AF85" s="205"/>
      <c r="AG85" s="85"/>
      <c r="AH85" s="85"/>
      <c r="AI85" s="85"/>
      <c r="AJ85" s="85"/>
      <c r="AK85" s="85"/>
      <c r="AL85" s="85"/>
      <c r="AM85" s="97"/>
      <c r="AN85" s="97"/>
      <c r="AO85" s="105"/>
      <c r="AP85" s="1"/>
      <c r="AQ85" s="191"/>
      <c r="AR85" s="185"/>
      <c r="AS85" s="185"/>
      <c r="AT85" s="185"/>
      <c r="AU85" s="185"/>
      <c r="AV85" s="185"/>
      <c r="AW85" s="192"/>
      <c r="AX85" s="192"/>
      <c r="AY85" s="193"/>
      <c r="BA85" s="199"/>
    </row>
    <row r="86" spans="1:53" ht="12">
      <c r="A86" s="49"/>
      <c r="B86" s="95"/>
      <c r="C86" s="95"/>
      <c r="D86" s="113"/>
      <c r="E86" s="138"/>
      <c r="F86" s="40"/>
      <c r="G86" s="40"/>
      <c r="H86" s="89"/>
      <c r="I86" s="138"/>
      <c r="J86" s="39"/>
      <c r="K86" s="41"/>
      <c r="L86" s="40"/>
      <c r="M86" s="41"/>
      <c r="N86" s="39"/>
      <c r="O86" s="89"/>
      <c r="P86" s="63"/>
      <c r="Q86" s="88"/>
      <c r="R86" s="29"/>
      <c r="S86" s="35"/>
      <c r="T86" s="85"/>
      <c r="U86" s="85"/>
      <c r="V86" s="110"/>
      <c r="W86" s="203"/>
      <c r="X86" s="203"/>
      <c r="Y86" s="203"/>
      <c r="Z86" s="203"/>
      <c r="AA86" s="203"/>
      <c r="AB86" s="203"/>
      <c r="AC86" s="85"/>
      <c r="AD86" s="85"/>
      <c r="AE86" s="85"/>
      <c r="AF86" s="205"/>
      <c r="AG86" s="85"/>
      <c r="AH86" s="85"/>
      <c r="AI86" s="85"/>
      <c r="AJ86" s="85"/>
      <c r="AK86" s="85"/>
      <c r="AL86" s="85"/>
      <c r="AM86" s="97"/>
      <c r="AN86" s="97"/>
      <c r="AO86" s="105"/>
      <c r="AP86" s="1"/>
      <c r="AQ86" s="191"/>
      <c r="AR86" s="185"/>
      <c r="AS86" s="185"/>
      <c r="AT86" s="185"/>
      <c r="AU86" s="185"/>
      <c r="AV86" s="185"/>
      <c r="AW86" s="192"/>
      <c r="AX86" s="192"/>
      <c r="AY86" s="193"/>
      <c r="BA86" s="199"/>
    </row>
    <row r="87" spans="1:53" ht="12">
      <c r="A87" s="49"/>
      <c r="B87" s="95"/>
      <c r="C87" s="95"/>
      <c r="D87" s="95"/>
      <c r="E87" s="40"/>
      <c r="F87" s="40"/>
      <c r="G87" s="40"/>
      <c r="H87" s="89"/>
      <c r="I87" s="138"/>
      <c r="J87" s="39"/>
      <c r="K87" s="41"/>
      <c r="L87" s="40"/>
      <c r="M87" s="41"/>
      <c r="N87" s="39"/>
      <c r="O87" s="89"/>
      <c r="P87" s="63"/>
      <c r="Q87" s="88"/>
      <c r="R87" s="29"/>
      <c r="S87" s="35"/>
      <c r="T87" s="85"/>
      <c r="U87" s="85"/>
      <c r="V87" s="110"/>
      <c r="W87" s="203"/>
      <c r="X87" s="203"/>
      <c r="Y87" s="203"/>
      <c r="Z87" s="203"/>
      <c r="AA87" s="203"/>
      <c r="AB87" s="203"/>
      <c r="AC87" s="85"/>
      <c r="AD87" s="85"/>
      <c r="AE87" s="85"/>
      <c r="AF87" s="205"/>
      <c r="AG87" s="85"/>
      <c r="AH87" s="85"/>
      <c r="AI87" s="85"/>
      <c r="AJ87" s="85"/>
      <c r="AK87" s="85"/>
      <c r="AL87" s="85"/>
      <c r="AM87" s="97"/>
      <c r="AN87" s="97"/>
      <c r="AO87" s="105"/>
      <c r="AP87" s="1"/>
      <c r="AQ87" s="191"/>
      <c r="AR87" s="185"/>
      <c r="AS87" s="185"/>
      <c r="AT87" s="185"/>
      <c r="AU87" s="185"/>
      <c r="AV87" s="185"/>
      <c r="AW87" s="185"/>
      <c r="AX87" s="185"/>
      <c r="AY87" s="194"/>
      <c r="BA87" s="200"/>
    </row>
    <row r="88" spans="1:53" ht="12">
      <c r="A88" s="49"/>
      <c r="B88" s="95"/>
      <c r="C88" s="95"/>
      <c r="D88" s="95"/>
      <c r="E88" s="40"/>
      <c r="F88" s="40"/>
      <c r="G88" s="40"/>
      <c r="H88" s="89"/>
      <c r="I88" s="138"/>
      <c r="J88" s="39"/>
      <c r="K88" s="41"/>
      <c r="L88" s="40"/>
      <c r="M88" s="41"/>
      <c r="N88" s="39"/>
      <c r="O88" s="89"/>
      <c r="P88" s="63"/>
      <c r="Q88" s="88"/>
      <c r="R88" s="29"/>
      <c r="S88" s="35"/>
      <c r="T88" s="85"/>
      <c r="U88" s="85"/>
      <c r="V88" s="110"/>
      <c r="W88" s="203"/>
      <c r="X88" s="203"/>
      <c r="Y88" s="203"/>
      <c r="Z88" s="203"/>
      <c r="AA88" s="203"/>
      <c r="AB88" s="203"/>
      <c r="AC88" s="85"/>
      <c r="AD88" s="85"/>
      <c r="AE88" s="85"/>
      <c r="AF88" s="205"/>
      <c r="AG88" s="85"/>
      <c r="AH88" s="85"/>
      <c r="AI88" s="85"/>
      <c r="AJ88" s="85"/>
      <c r="AK88" s="85"/>
      <c r="AL88" s="85"/>
      <c r="AM88" s="97"/>
      <c r="AN88" s="97"/>
      <c r="AO88" s="105"/>
      <c r="AP88" s="1"/>
      <c r="AQ88" s="191"/>
      <c r="AR88" s="185"/>
      <c r="AS88" s="185"/>
      <c r="AT88" s="185"/>
      <c r="AU88" s="185"/>
      <c r="AV88" s="185"/>
      <c r="AW88" s="185"/>
      <c r="AX88" s="185"/>
      <c r="AY88" s="194"/>
      <c r="BA88" s="200"/>
    </row>
    <row r="89" spans="1:53" ht="12">
      <c r="A89" s="49"/>
      <c r="B89" s="95"/>
      <c r="C89" s="95"/>
      <c r="D89" s="95"/>
      <c r="E89" s="40"/>
      <c r="F89" s="40"/>
      <c r="G89" s="40"/>
      <c r="H89" s="89"/>
      <c r="I89" s="138"/>
      <c r="J89" s="39"/>
      <c r="K89" s="41"/>
      <c r="L89" s="40"/>
      <c r="M89" s="41"/>
      <c r="N89" s="39"/>
      <c r="O89" s="89"/>
      <c r="P89" s="63"/>
      <c r="Q89" s="88"/>
      <c r="R89" s="29"/>
      <c r="S89" s="35"/>
      <c r="T89" s="85"/>
      <c r="U89" s="85"/>
      <c r="V89" s="110"/>
      <c r="W89" s="203"/>
      <c r="X89" s="203"/>
      <c r="Y89" s="203"/>
      <c r="Z89" s="203"/>
      <c r="AA89" s="203"/>
      <c r="AB89" s="203"/>
      <c r="AC89" s="85"/>
      <c r="AD89" s="85"/>
      <c r="AE89" s="85"/>
      <c r="AF89" s="205"/>
      <c r="AG89" s="85"/>
      <c r="AH89" s="85"/>
      <c r="AI89" s="85"/>
      <c r="AJ89" s="85"/>
      <c r="AK89" s="85"/>
      <c r="AL89" s="85"/>
      <c r="AM89" s="97"/>
      <c r="AN89" s="97"/>
      <c r="AO89" s="105"/>
      <c r="AP89" s="1"/>
      <c r="AQ89" s="191"/>
      <c r="AR89" s="185"/>
      <c r="AS89" s="185"/>
      <c r="AT89" s="185"/>
      <c r="AU89" s="185"/>
      <c r="AV89" s="185"/>
      <c r="AW89" s="185"/>
      <c r="AX89" s="185"/>
      <c r="AY89" s="194"/>
      <c r="BA89" s="200"/>
    </row>
    <row r="90" spans="1:53" ht="12">
      <c r="A90" s="52"/>
      <c r="B90" s="36"/>
      <c r="C90" s="36"/>
      <c r="D90" s="36"/>
      <c r="E90" s="43"/>
      <c r="F90" s="43"/>
      <c r="G90" s="43"/>
      <c r="H90" s="115"/>
      <c r="I90" s="42"/>
      <c r="J90" s="36"/>
      <c r="K90" s="75"/>
      <c r="L90" s="43"/>
      <c r="M90" s="43"/>
      <c r="N90" s="36"/>
      <c r="O90" s="115"/>
      <c r="P90" s="122"/>
      <c r="Q90" s="90"/>
      <c r="R90" s="61"/>
      <c r="S90" s="106"/>
      <c r="T90" s="86"/>
      <c r="U90" s="86"/>
      <c r="V90" s="111"/>
      <c r="W90" s="112"/>
      <c r="X90" s="112"/>
      <c r="Y90" s="112"/>
      <c r="Z90" s="112"/>
      <c r="AA90" s="112"/>
      <c r="AB90" s="112"/>
      <c r="AC90" s="86"/>
      <c r="AD90" s="86"/>
      <c r="AE90" s="86"/>
      <c r="AF90" s="206"/>
      <c r="AG90" s="86"/>
      <c r="AH90" s="86"/>
      <c r="AI90" s="86"/>
      <c r="AJ90" s="86"/>
      <c r="AK90" s="86"/>
      <c r="AL90" s="86"/>
      <c r="AM90" s="107"/>
      <c r="AN90" s="107"/>
      <c r="AO90" s="108"/>
      <c r="AP90" s="1"/>
      <c r="AQ90" s="195"/>
      <c r="AR90" s="196"/>
      <c r="AS90" s="196"/>
      <c r="AT90" s="196"/>
      <c r="AU90" s="196"/>
      <c r="AV90" s="196"/>
      <c r="AW90" s="196"/>
      <c r="AX90" s="196"/>
      <c r="AY90" s="197"/>
      <c r="BA90" s="201"/>
    </row>
    <row r="92" spans="32:38" ht="12">
      <c r="AF92" s="44"/>
      <c r="AL92" s="44"/>
    </row>
    <row r="93" spans="2:9" ht="12">
      <c r="B93" s="10" t="s">
        <v>267</v>
      </c>
      <c r="G93" s="82"/>
      <c r="H93" s="11"/>
      <c r="I93" s="11" t="s">
        <v>236</v>
      </c>
    </row>
    <row r="94" spans="15:22" ht="12">
      <c r="O94" s="1" t="s">
        <v>165</v>
      </c>
      <c r="V94" s="154" t="s">
        <v>266</v>
      </c>
    </row>
    <row r="95" spans="9:42" ht="12">
      <c r="I95" s="176" t="s">
        <v>184</v>
      </c>
      <c r="J95" s="45" t="s">
        <v>259</v>
      </c>
      <c r="K95" s="139" t="s">
        <v>260</v>
      </c>
      <c r="L95" s="143" t="s">
        <v>180</v>
      </c>
      <c r="M95" s="47" t="s">
        <v>224</v>
      </c>
      <c r="N95" s="143" t="s">
        <v>242</v>
      </c>
      <c r="O95" s="120" t="s">
        <v>239</v>
      </c>
      <c r="P95" s="120">
        <v>3</v>
      </c>
      <c r="Q95" s="76">
        <v>5</v>
      </c>
      <c r="S95" s="148" t="s">
        <v>261</v>
      </c>
      <c r="T95" s="144"/>
      <c r="V95" s="44" t="s">
        <v>265</v>
      </c>
      <c r="W95" s="154"/>
      <c r="X95" s="154"/>
      <c r="Y95" s="154"/>
      <c r="Z95" s="154"/>
      <c r="AA95" s="133"/>
      <c r="AB95" s="155"/>
      <c r="AC95" s="155"/>
      <c r="AD95" s="155"/>
      <c r="AE95" s="155"/>
      <c r="AF95" s="155"/>
      <c r="AG95" s="155"/>
      <c r="AH95" s="155"/>
      <c r="AI95" s="155"/>
      <c r="AK95" s="9"/>
      <c r="AL95" s="1"/>
      <c r="AM95" s="1"/>
      <c r="AN95" s="1"/>
      <c r="AO95" s="1"/>
      <c r="AP95" s="1"/>
    </row>
    <row r="96" spans="9:42" ht="12">
      <c r="I96" s="177">
        <v>0.5</v>
      </c>
      <c r="J96" s="3" t="s">
        <v>186</v>
      </c>
      <c r="K96" s="50" t="s">
        <v>245</v>
      </c>
      <c r="L96" s="141">
        <v>1</v>
      </c>
      <c r="M96" s="49" t="s">
        <v>230</v>
      </c>
      <c r="N96" s="94">
        <v>1</v>
      </c>
      <c r="O96" s="60">
        <v>1.5</v>
      </c>
      <c r="P96" s="116">
        <v>16</v>
      </c>
      <c r="Q96" s="77">
        <v>20</v>
      </c>
      <c r="S96" s="145">
        <v>0.001</v>
      </c>
      <c r="T96" s="146" t="s">
        <v>243</v>
      </c>
      <c r="V96" s="143" t="s">
        <v>244</v>
      </c>
      <c r="W96" s="161">
        <v>1</v>
      </c>
      <c r="X96" s="161">
        <v>2</v>
      </c>
      <c r="Y96" s="161">
        <v>3</v>
      </c>
      <c r="Z96" s="161">
        <v>4</v>
      </c>
      <c r="AA96" s="161">
        <v>5</v>
      </c>
      <c r="AB96" s="161">
        <v>6</v>
      </c>
      <c r="AC96" s="161">
        <v>7</v>
      </c>
      <c r="AD96" s="161">
        <v>8</v>
      </c>
      <c r="AE96" s="161">
        <v>9</v>
      </c>
      <c r="AF96" s="161">
        <v>10</v>
      </c>
      <c r="AG96" s="161">
        <v>11</v>
      </c>
      <c r="AH96" s="171">
        <v>12</v>
      </c>
      <c r="AI96" s="6"/>
      <c r="AK96" s="9"/>
      <c r="AL96" s="1"/>
      <c r="AM96" s="1"/>
      <c r="AN96" s="1"/>
      <c r="AO96" s="1"/>
      <c r="AP96" s="1"/>
    </row>
    <row r="97" spans="9:42" ht="12">
      <c r="I97" s="48">
        <v>0.75</v>
      </c>
      <c r="J97" s="37" t="s">
        <v>202</v>
      </c>
      <c r="K97" s="51" t="s">
        <v>246</v>
      </c>
      <c r="L97" s="141">
        <v>2</v>
      </c>
      <c r="M97" s="49" t="s">
        <v>231</v>
      </c>
      <c r="N97" s="94">
        <v>0.8</v>
      </c>
      <c r="O97" s="118">
        <v>2.5</v>
      </c>
      <c r="P97" s="116">
        <v>20</v>
      </c>
      <c r="Q97" s="77">
        <v>20</v>
      </c>
      <c r="S97" s="145">
        <v>0.002</v>
      </c>
      <c r="T97" s="152">
        <v>10</v>
      </c>
      <c r="V97" s="140">
        <v>1.5</v>
      </c>
      <c r="W97" s="162"/>
      <c r="X97" s="162"/>
      <c r="Y97" s="162">
        <v>13</v>
      </c>
      <c r="Z97" s="163">
        <v>13.5</v>
      </c>
      <c r="AA97" s="163">
        <v>15</v>
      </c>
      <c r="AB97" s="163">
        <v>16</v>
      </c>
      <c r="AC97" s="163"/>
      <c r="AD97" s="163">
        <v>18</v>
      </c>
      <c r="AE97" s="163">
        <v>21</v>
      </c>
      <c r="AF97" s="163">
        <v>24</v>
      </c>
      <c r="AG97" s="163"/>
      <c r="AH97" s="164"/>
      <c r="AI97" s="6"/>
      <c r="AK97" s="9"/>
      <c r="AL97" s="1"/>
      <c r="AM97" s="1"/>
      <c r="AN97" s="1"/>
      <c r="AO97" s="1"/>
      <c r="AP97" s="1"/>
    </row>
    <row r="98" spans="9:42" ht="12">
      <c r="I98" s="48">
        <v>1.5</v>
      </c>
      <c r="L98" s="141">
        <v>3</v>
      </c>
      <c r="M98" s="49" t="s">
        <v>232</v>
      </c>
      <c r="N98" s="94">
        <v>0.7</v>
      </c>
      <c r="O98" s="118">
        <v>4</v>
      </c>
      <c r="P98" s="3">
        <v>20</v>
      </c>
      <c r="Q98" s="77">
        <v>25</v>
      </c>
      <c r="S98" s="145">
        <v>10</v>
      </c>
      <c r="T98" s="152">
        <v>16</v>
      </c>
      <c r="V98" s="94">
        <v>2.5</v>
      </c>
      <c r="W98" s="132"/>
      <c r="X98" s="132"/>
      <c r="Y98" s="132">
        <v>17.5</v>
      </c>
      <c r="Z98" s="6">
        <v>18.5</v>
      </c>
      <c r="AA98" s="6">
        <v>21</v>
      </c>
      <c r="AB98" s="6">
        <v>22</v>
      </c>
      <c r="AC98" s="6"/>
      <c r="AD98" s="6">
        <v>25</v>
      </c>
      <c r="AE98" s="6">
        <v>29</v>
      </c>
      <c r="AF98" s="6">
        <v>33</v>
      </c>
      <c r="AG98" s="6"/>
      <c r="AH98" s="149"/>
      <c r="AI98" s="6"/>
      <c r="AK98" s="9"/>
      <c r="AL98" s="1"/>
      <c r="AM98" s="1"/>
      <c r="AN98" s="1"/>
      <c r="AO98" s="1"/>
      <c r="AP98" s="1"/>
    </row>
    <row r="99" spans="9:42" ht="12">
      <c r="I99" s="48">
        <v>2.5</v>
      </c>
      <c r="L99" s="141">
        <v>4</v>
      </c>
      <c r="M99" s="52" t="s">
        <v>233</v>
      </c>
      <c r="N99" s="94">
        <v>0.65</v>
      </c>
      <c r="O99" s="118">
        <v>6</v>
      </c>
      <c r="P99" s="3">
        <v>25</v>
      </c>
      <c r="Q99" s="77">
        <v>25</v>
      </c>
      <c r="S99" s="145">
        <v>16</v>
      </c>
      <c r="T99" s="152">
        <v>20</v>
      </c>
      <c r="V99" s="94">
        <v>4</v>
      </c>
      <c r="W99" s="132"/>
      <c r="X99" s="132"/>
      <c r="Y99" s="132">
        <v>23</v>
      </c>
      <c r="Z99" s="6">
        <v>24</v>
      </c>
      <c r="AA99" s="6">
        <v>27</v>
      </c>
      <c r="AB99" s="6">
        <v>30</v>
      </c>
      <c r="AC99" s="6"/>
      <c r="AD99" s="6">
        <v>34</v>
      </c>
      <c r="AE99" s="6">
        <v>38</v>
      </c>
      <c r="AF99" s="6">
        <v>45</v>
      </c>
      <c r="AG99" s="6"/>
      <c r="AH99" s="149"/>
      <c r="AI99" s="6"/>
      <c r="AK99" s="9"/>
      <c r="AL99" s="1"/>
      <c r="AM99" s="1"/>
      <c r="AN99" s="1"/>
      <c r="AO99" s="1"/>
      <c r="AP99" s="1"/>
    </row>
    <row r="100" spans="9:42" ht="12">
      <c r="I100" s="48">
        <v>4</v>
      </c>
      <c r="L100" s="141">
        <v>5</v>
      </c>
      <c r="N100" s="94">
        <v>0.6</v>
      </c>
      <c r="O100" s="118">
        <v>10</v>
      </c>
      <c r="P100" s="3">
        <v>25</v>
      </c>
      <c r="Q100" s="77">
        <v>32</v>
      </c>
      <c r="S100" s="145">
        <v>20</v>
      </c>
      <c r="T100" s="152">
        <v>25</v>
      </c>
      <c r="V100" s="94">
        <v>6</v>
      </c>
      <c r="W100" s="132"/>
      <c r="X100" s="132"/>
      <c r="Y100" s="132">
        <v>30</v>
      </c>
      <c r="Z100" s="6">
        <v>32</v>
      </c>
      <c r="AA100" s="6">
        <v>36</v>
      </c>
      <c r="AB100" s="6">
        <v>37</v>
      </c>
      <c r="AC100" s="6"/>
      <c r="AD100" s="6">
        <v>44</v>
      </c>
      <c r="AE100" s="6">
        <v>49</v>
      </c>
      <c r="AF100" s="6">
        <v>57</v>
      </c>
      <c r="AG100" s="6"/>
      <c r="AH100" s="149"/>
      <c r="AI100" s="6"/>
      <c r="AK100" s="9"/>
      <c r="AL100" s="1"/>
      <c r="AM100" s="1"/>
      <c r="AN100" s="1"/>
      <c r="AO100" s="1"/>
      <c r="AP100" s="1"/>
    </row>
    <row r="101" spans="9:42" ht="12">
      <c r="I101" s="48">
        <v>6</v>
      </c>
      <c r="L101" s="141">
        <v>6</v>
      </c>
      <c r="N101" s="94">
        <v>0.55</v>
      </c>
      <c r="O101" s="118">
        <v>16</v>
      </c>
      <c r="P101" s="3">
        <v>32</v>
      </c>
      <c r="Q101" s="77">
        <v>40</v>
      </c>
      <c r="S101" s="145">
        <v>25</v>
      </c>
      <c r="T101" s="152">
        <v>32</v>
      </c>
      <c r="V101" s="94">
        <v>10</v>
      </c>
      <c r="W101" s="132"/>
      <c r="X101" s="132"/>
      <c r="Y101" s="132">
        <v>40</v>
      </c>
      <c r="Z101" s="6">
        <v>44</v>
      </c>
      <c r="AA101" s="6">
        <v>50</v>
      </c>
      <c r="AB101" s="6">
        <v>52</v>
      </c>
      <c r="AC101" s="6"/>
      <c r="AD101" s="6">
        <v>60</v>
      </c>
      <c r="AE101" s="6">
        <v>68</v>
      </c>
      <c r="AF101" s="6">
        <v>76</v>
      </c>
      <c r="AG101" s="6"/>
      <c r="AH101" s="149"/>
      <c r="AI101" s="6"/>
      <c r="AK101" s="9"/>
      <c r="AL101" s="1"/>
      <c r="AM101" s="1"/>
      <c r="AN101" s="1"/>
      <c r="AO101" s="1"/>
      <c r="AP101" s="1"/>
    </row>
    <row r="102" spans="9:42" ht="12">
      <c r="I102" s="48">
        <v>10</v>
      </c>
      <c r="L102" s="141">
        <v>7</v>
      </c>
      <c r="N102" s="94">
        <v>0.55</v>
      </c>
      <c r="O102" s="118">
        <v>25</v>
      </c>
      <c r="P102" s="3">
        <v>40</v>
      </c>
      <c r="Q102" s="77">
        <v>50</v>
      </c>
      <c r="S102" s="145">
        <v>32</v>
      </c>
      <c r="T102" s="152">
        <v>40</v>
      </c>
      <c r="V102" s="94">
        <v>16</v>
      </c>
      <c r="W102" s="132">
        <v>97</v>
      </c>
      <c r="X102" s="132">
        <v>125</v>
      </c>
      <c r="Y102" s="132">
        <v>54</v>
      </c>
      <c r="Z102" s="6">
        <v>59</v>
      </c>
      <c r="AA102" s="6">
        <v>66</v>
      </c>
      <c r="AB102" s="6">
        <v>70</v>
      </c>
      <c r="AC102" s="6"/>
      <c r="AD102" s="6">
        <v>80</v>
      </c>
      <c r="AE102" s="6">
        <v>91</v>
      </c>
      <c r="AF102" s="6">
        <v>105</v>
      </c>
      <c r="AG102" s="6"/>
      <c r="AH102" s="149"/>
      <c r="AI102" s="6"/>
      <c r="AK102" s="9"/>
      <c r="AL102" s="1"/>
      <c r="AM102" s="1"/>
      <c r="AN102" s="1"/>
      <c r="AO102" s="1"/>
      <c r="AP102" s="1"/>
    </row>
    <row r="103" spans="9:42" ht="12">
      <c r="I103" s="48">
        <v>16</v>
      </c>
      <c r="L103" s="141">
        <v>8</v>
      </c>
      <c r="N103" s="94">
        <v>0.5</v>
      </c>
      <c r="O103" s="118">
        <v>35</v>
      </c>
      <c r="P103" s="3">
        <v>40</v>
      </c>
      <c r="Q103" s="77">
        <v>50</v>
      </c>
      <c r="S103" s="145">
        <v>40</v>
      </c>
      <c r="T103" s="152">
        <v>50</v>
      </c>
      <c r="V103" s="94">
        <v>25</v>
      </c>
      <c r="W103" s="132">
        <v>125</v>
      </c>
      <c r="X103" s="132">
        <v>160</v>
      </c>
      <c r="Y103" s="132">
        <v>70</v>
      </c>
      <c r="Z103" s="6">
        <v>77</v>
      </c>
      <c r="AA103" s="6">
        <v>84</v>
      </c>
      <c r="AB103" s="6">
        <v>88</v>
      </c>
      <c r="AC103" s="6"/>
      <c r="AD103" s="6">
        <v>106</v>
      </c>
      <c r="AE103" s="6">
        <v>116</v>
      </c>
      <c r="AF103" s="6">
        <v>123</v>
      </c>
      <c r="AG103" s="6"/>
      <c r="AH103" s="149"/>
      <c r="AI103" s="6"/>
      <c r="AK103" s="9"/>
      <c r="AL103" s="1"/>
      <c r="AM103" s="1"/>
      <c r="AN103" s="1"/>
      <c r="AO103" s="1"/>
      <c r="AP103" s="1"/>
    </row>
    <row r="104" spans="9:42" ht="12">
      <c r="I104" s="48">
        <v>25</v>
      </c>
      <c r="L104" s="141">
        <v>9</v>
      </c>
      <c r="N104" s="94">
        <v>0.5</v>
      </c>
      <c r="O104" s="118">
        <v>50</v>
      </c>
      <c r="P104" s="3">
        <v>50</v>
      </c>
      <c r="Q104" s="77">
        <v>63</v>
      </c>
      <c r="S104" s="145">
        <v>50</v>
      </c>
      <c r="T104" s="152">
        <v>63</v>
      </c>
      <c r="V104" s="94">
        <v>35</v>
      </c>
      <c r="W104" s="132">
        <v>150</v>
      </c>
      <c r="X104" s="132">
        <v>190</v>
      </c>
      <c r="Y104" s="132">
        <v>86</v>
      </c>
      <c r="Z104" s="6">
        <v>96</v>
      </c>
      <c r="AA104" s="6">
        <v>104</v>
      </c>
      <c r="AB104" s="6">
        <v>110</v>
      </c>
      <c r="AC104" s="6"/>
      <c r="AD104" s="6">
        <v>131</v>
      </c>
      <c r="AE104" s="6">
        <v>144</v>
      </c>
      <c r="AF104" s="6">
        <v>154</v>
      </c>
      <c r="AG104" s="6"/>
      <c r="AH104" s="149"/>
      <c r="AI104" s="6"/>
      <c r="AK104" s="9"/>
      <c r="AL104" s="1"/>
      <c r="AM104" s="1"/>
      <c r="AN104" s="1"/>
      <c r="AO104" s="1"/>
      <c r="AP104" s="1"/>
    </row>
    <row r="105" spans="9:42" ht="12">
      <c r="I105" s="48">
        <v>35</v>
      </c>
      <c r="L105" s="141">
        <v>10</v>
      </c>
      <c r="N105" s="94">
        <v>0.45</v>
      </c>
      <c r="O105" s="118">
        <v>70</v>
      </c>
      <c r="P105" s="3">
        <v>63</v>
      </c>
      <c r="Q105" s="77">
        <v>63</v>
      </c>
      <c r="S105" s="145">
        <v>63</v>
      </c>
      <c r="T105" s="152">
        <v>80</v>
      </c>
      <c r="V105" s="94">
        <v>50</v>
      </c>
      <c r="W105" s="132">
        <v>180</v>
      </c>
      <c r="X105" s="132">
        <v>230</v>
      </c>
      <c r="Y105" s="132">
        <v>103</v>
      </c>
      <c r="Z105" s="6">
        <v>117</v>
      </c>
      <c r="AA105" s="6">
        <v>125</v>
      </c>
      <c r="AB105" s="6">
        <v>133</v>
      </c>
      <c r="AC105" s="6"/>
      <c r="AD105" s="6">
        <v>159</v>
      </c>
      <c r="AE105" s="6">
        <v>175</v>
      </c>
      <c r="AF105" s="6">
        <v>188</v>
      </c>
      <c r="AG105" s="6"/>
      <c r="AH105" s="149"/>
      <c r="AI105" s="6"/>
      <c r="AK105" s="9"/>
      <c r="AL105" s="1"/>
      <c r="AM105" s="1"/>
      <c r="AN105" s="1"/>
      <c r="AO105" s="1"/>
      <c r="AP105" s="1"/>
    </row>
    <row r="106" spans="9:42" ht="12">
      <c r="I106" s="48">
        <v>50</v>
      </c>
      <c r="L106" s="142">
        <v>11</v>
      </c>
      <c r="N106" s="94">
        <v>0.4</v>
      </c>
      <c r="O106" s="118">
        <v>95</v>
      </c>
      <c r="P106" s="3">
        <v>63</v>
      </c>
      <c r="Q106" s="77">
        <v>75</v>
      </c>
      <c r="S106" s="145">
        <v>80</v>
      </c>
      <c r="T106" s="152">
        <v>100</v>
      </c>
      <c r="V106" s="94">
        <v>70</v>
      </c>
      <c r="W106" s="132">
        <v>220</v>
      </c>
      <c r="X106" s="132">
        <v>280</v>
      </c>
      <c r="Y106" s="132"/>
      <c r="Z106" s="6">
        <v>149</v>
      </c>
      <c r="AA106" s="6">
        <v>160</v>
      </c>
      <c r="AB106" s="6">
        <v>171</v>
      </c>
      <c r="AC106" s="6"/>
      <c r="AD106" s="6">
        <v>202</v>
      </c>
      <c r="AE106" s="6">
        <v>224</v>
      </c>
      <c r="AF106" s="6">
        <v>244</v>
      </c>
      <c r="AG106" s="6"/>
      <c r="AH106" s="149"/>
      <c r="AI106" s="6"/>
      <c r="AK106" s="9"/>
      <c r="AL106" s="1"/>
      <c r="AM106" s="1"/>
      <c r="AN106" s="1"/>
      <c r="AO106" s="1"/>
      <c r="AP106" s="1"/>
    </row>
    <row r="107" spans="9:42" ht="12">
      <c r="I107" s="48">
        <v>70</v>
      </c>
      <c r="N107" s="153">
        <v>0.4</v>
      </c>
      <c r="O107" s="118">
        <v>120</v>
      </c>
      <c r="P107" s="3">
        <v>75</v>
      </c>
      <c r="Q107" s="77" t="s">
        <v>240</v>
      </c>
      <c r="S107" s="145">
        <v>100</v>
      </c>
      <c r="T107" s="152">
        <v>125</v>
      </c>
      <c r="V107" s="94">
        <v>95</v>
      </c>
      <c r="W107" s="132">
        <v>260</v>
      </c>
      <c r="X107" s="132">
        <v>335</v>
      </c>
      <c r="Y107" s="132"/>
      <c r="Z107" s="6">
        <v>180</v>
      </c>
      <c r="AA107" s="6">
        <v>194</v>
      </c>
      <c r="AB107" s="6">
        <v>207</v>
      </c>
      <c r="AC107" s="6"/>
      <c r="AD107" s="6">
        <v>245</v>
      </c>
      <c r="AE107" s="6">
        <v>271</v>
      </c>
      <c r="AF107" s="6">
        <v>296</v>
      </c>
      <c r="AG107" s="6"/>
      <c r="AH107" s="149"/>
      <c r="AI107" s="6"/>
      <c r="AK107" s="9"/>
      <c r="AL107" s="1"/>
      <c r="AM107" s="1"/>
      <c r="AN107" s="1"/>
      <c r="AO107" s="1"/>
      <c r="AP107" s="1"/>
    </row>
    <row r="108" spans="9:42" ht="12">
      <c r="I108" s="48">
        <v>95</v>
      </c>
      <c r="O108" s="118">
        <v>150</v>
      </c>
      <c r="P108" s="3">
        <v>75</v>
      </c>
      <c r="Q108" s="117" t="s">
        <v>240</v>
      </c>
      <c r="S108" s="145">
        <v>125</v>
      </c>
      <c r="T108" s="152">
        <v>160</v>
      </c>
      <c r="V108" s="94">
        <v>120</v>
      </c>
      <c r="W108" s="132">
        <v>295</v>
      </c>
      <c r="X108" s="132">
        <v>380</v>
      </c>
      <c r="Y108" s="132"/>
      <c r="Z108" s="6">
        <v>208</v>
      </c>
      <c r="AA108" s="6">
        <v>225</v>
      </c>
      <c r="AB108" s="6">
        <v>240</v>
      </c>
      <c r="AC108" s="6"/>
      <c r="AD108" s="6">
        <v>284</v>
      </c>
      <c r="AE108" s="6">
        <v>314</v>
      </c>
      <c r="AF108" s="6">
        <v>348</v>
      </c>
      <c r="AG108" s="6"/>
      <c r="AH108" s="149"/>
      <c r="AI108" s="6"/>
      <c r="AK108" s="9"/>
      <c r="AL108" s="1"/>
      <c r="AM108" s="1"/>
      <c r="AN108" s="1"/>
      <c r="AO108" s="1"/>
      <c r="AP108" s="1"/>
    </row>
    <row r="109" spans="9:42" ht="12">
      <c r="I109" s="48">
        <v>120</v>
      </c>
      <c r="O109" s="118">
        <v>185</v>
      </c>
      <c r="P109" s="3" t="s">
        <v>240</v>
      </c>
      <c r="Q109" s="117" t="s">
        <v>240</v>
      </c>
      <c r="S109" s="145">
        <v>160</v>
      </c>
      <c r="T109" s="152">
        <v>250</v>
      </c>
      <c r="V109" s="94">
        <v>150</v>
      </c>
      <c r="W109" s="132">
        <v>330</v>
      </c>
      <c r="X109" s="132">
        <v>425</v>
      </c>
      <c r="Y109" s="132"/>
      <c r="Z109" s="6">
        <v>236</v>
      </c>
      <c r="AA109" s="6">
        <v>260</v>
      </c>
      <c r="AB109" s="6">
        <v>278</v>
      </c>
      <c r="AC109" s="6"/>
      <c r="AD109" s="6">
        <v>338</v>
      </c>
      <c r="AE109" s="6">
        <v>363</v>
      </c>
      <c r="AF109" s="6">
        <v>404</v>
      </c>
      <c r="AG109" s="6"/>
      <c r="AH109" s="149"/>
      <c r="AI109" s="6"/>
      <c r="AK109" s="9"/>
      <c r="AL109" s="1"/>
      <c r="AM109" s="1"/>
      <c r="AN109" s="1"/>
      <c r="AO109" s="1"/>
      <c r="AP109" s="1"/>
    </row>
    <row r="110" spans="9:42" ht="12">
      <c r="I110" s="48">
        <v>150</v>
      </c>
      <c r="O110" s="119">
        <v>240</v>
      </c>
      <c r="P110" s="37" t="s">
        <v>240</v>
      </c>
      <c r="Q110" s="121" t="s">
        <v>240</v>
      </c>
      <c r="S110" s="145">
        <v>250</v>
      </c>
      <c r="T110" s="152">
        <v>400</v>
      </c>
      <c r="V110" s="94">
        <v>185</v>
      </c>
      <c r="W110" s="132">
        <v>375</v>
      </c>
      <c r="X110" s="132">
        <v>480</v>
      </c>
      <c r="Y110" s="132"/>
      <c r="Z110" s="6">
        <v>268</v>
      </c>
      <c r="AA110" s="6">
        <v>297</v>
      </c>
      <c r="AB110" s="6">
        <v>317</v>
      </c>
      <c r="AC110" s="6"/>
      <c r="AD110" s="6">
        <v>386</v>
      </c>
      <c r="AE110" s="6">
        <v>415</v>
      </c>
      <c r="AF110" s="6">
        <v>464</v>
      </c>
      <c r="AG110" s="6"/>
      <c r="AH110" s="149"/>
      <c r="AI110" s="6"/>
      <c r="AK110" s="9"/>
      <c r="AL110" s="1"/>
      <c r="AM110" s="1"/>
      <c r="AN110" s="1"/>
      <c r="AO110" s="1"/>
      <c r="AP110" s="1"/>
    </row>
    <row r="111" spans="9:42" ht="12">
      <c r="I111" s="48">
        <v>185</v>
      </c>
      <c r="S111" s="145">
        <v>400</v>
      </c>
      <c r="T111" s="77">
        <v>630</v>
      </c>
      <c r="V111" s="94">
        <v>240</v>
      </c>
      <c r="W111" s="132">
        <v>430</v>
      </c>
      <c r="X111" s="132">
        <v>550</v>
      </c>
      <c r="Y111" s="132"/>
      <c r="Z111" s="6">
        <v>315</v>
      </c>
      <c r="AA111" s="6">
        <v>350</v>
      </c>
      <c r="AB111" s="6">
        <v>374</v>
      </c>
      <c r="AC111" s="6"/>
      <c r="AD111" s="6">
        <v>455</v>
      </c>
      <c r="AE111" s="6">
        <v>490</v>
      </c>
      <c r="AF111" s="6">
        <v>552</v>
      </c>
      <c r="AG111" s="6"/>
      <c r="AH111" s="149"/>
      <c r="AI111" s="6"/>
      <c r="AK111" s="9"/>
      <c r="AL111" s="1"/>
      <c r="AM111" s="1"/>
      <c r="AN111" s="1"/>
      <c r="AO111" s="1"/>
      <c r="AP111" s="1"/>
    </row>
    <row r="112" spans="9:42" ht="12">
      <c r="I112" s="48">
        <v>240</v>
      </c>
      <c r="S112" s="130">
        <v>630</v>
      </c>
      <c r="T112" s="77">
        <v>800</v>
      </c>
      <c r="V112" s="94">
        <v>300</v>
      </c>
      <c r="W112" s="132">
        <v>485</v>
      </c>
      <c r="X112" s="132">
        <v>620</v>
      </c>
      <c r="Y112" s="132"/>
      <c r="Z112" s="6">
        <v>360</v>
      </c>
      <c r="AA112" s="6">
        <v>404</v>
      </c>
      <c r="AB112" s="6">
        <v>423</v>
      </c>
      <c r="AC112" s="6"/>
      <c r="AD112" s="6">
        <v>524</v>
      </c>
      <c r="AE112" s="6">
        <v>565</v>
      </c>
      <c r="AF112" s="6">
        <v>640</v>
      </c>
      <c r="AG112" s="6"/>
      <c r="AH112" s="149"/>
      <c r="AI112" s="6"/>
      <c r="AK112" s="9"/>
      <c r="AL112" s="1"/>
      <c r="AM112" s="1"/>
      <c r="AN112" s="1"/>
      <c r="AO112" s="1"/>
      <c r="AP112" s="1"/>
    </row>
    <row r="113" spans="9:42" ht="12">
      <c r="I113" s="178">
        <v>300</v>
      </c>
      <c r="S113" s="130">
        <v>800</v>
      </c>
      <c r="T113" s="77">
        <v>1000</v>
      </c>
      <c r="V113" s="168">
        <v>400</v>
      </c>
      <c r="W113" s="44">
        <v>550</v>
      </c>
      <c r="X113" s="44">
        <v>705</v>
      </c>
      <c r="AA113" s="133"/>
      <c r="AB113" s="1"/>
      <c r="AC113" s="59"/>
      <c r="AD113" s="59"/>
      <c r="AE113" s="59"/>
      <c r="AF113" s="59"/>
      <c r="AH113" s="150"/>
      <c r="AK113" s="9"/>
      <c r="AL113" s="1"/>
      <c r="AM113" s="1"/>
      <c r="AN113" s="1"/>
      <c r="AO113" s="1"/>
      <c r="AP113" s="1"/>
    </row>
    <row r="114" spans="9:42" ht="12">
      <c r="I114" s="178">
        <v>400</v>
      </c>
      <c r="S114" s="130">
        <v>1000</v>
      </c>
      <c r="T114" s="77">
        <v>1250</v>
      </c>
      <c r="V114" s="168">
        <v>500</v>
      </c>
      <c r="W114" s="44">
        <v>615</v>
      </c>
      <c r="X114" s="44">
        <v>790</v>
      </c>
      <c r="AA114" s="133"/>
      <c r="AB114" s="1"/>
      <c r="AC114" s="59"/>
      <c r="AD114" s="59"/>
      <c r="AE114" s="59"/>
      <c r="AF114" s="59"/>
      <c r="AH114" s="150"/>
      <c r="AK114" s="9"/>
      <c r="AL114" s="1"/>
      <c r="AM114" s="1"/>
      <c r="AN114" s="1"/>
      <c r="AO114" s="1"/>
      <c r="AP114" s="1"/>
    </row>
    <row r="115" spans="9:42" ht="12">
      <c r="I115" s="178">
        <v>500</v>
      </c>
      <c r="S115" s="130">
        <v>1250</v>
      </c>
      <c r="T115" s="77">
        <v>1600</v>
      </c>
      <c r="V115" s="169">
        <v>630</v>
      </c>
      <c r="W115" s="180">
        <v>690</v>
      </c>
      <c r="X115" s="180">
        <v>885</v>
      </c>
      <c r="Y115" s="165"/>
      <c r="Z115" s="165"/>
      <c r="AA115" s="166"/>
      <c r="AB115" s="167"/>
      <c r="AC115" s="167"/>
      <c r="AD115" s="167"/>
      <c r="AE115" s="167"/>
      <c r="AF115" s="167"/>
      <c r="AG115" s="167"/>
      <c r="AH115" s="151"/>
      <c r="AK115" s="9"/>
      <c r="AL115" s="1"/>
      <c r="AM115" s="1"/>
      <c r="AN115" s="1"/>
      <c r="AO115" s="1"/>
      <c r="AP115" s="1"/>
    </row>
    <row r="116" spans="9:20" ht="12">
      <c r="I116" s="179">
        <v>630</v>
      </c>
      <c r="S116" s="147">
        <v>1600</v>
      </c>
      <c r="T116" s="125">
        <v>2500</v>
      </c>
    </row>
  </sheetData>
  <mergeCells count="17">
    <mergeCell ref="W13:X13"/>
    <mergeCell ref="Y13:Z13"/>
    <mergeCell ref="AS4:AT4"/>
    <mergeCell ref="T12:V12"/>
    <mergeCell ref="AC13:AD13"/>
    <mergeCell ref="W12:AD12"/>
    <mergeCell ref="AA13:AB13"/>
    <mergeCell ref="AU4:AV4"/>
    <mergeCell ref="AM13:AO13"/>
    <mergeCell ref="AG12:AO12"/>
    <mergeCell ref="AI13:AJ13"/>
    <mergeCell ref="AK13:AL13"/>
    <mergeCell ref="AG13:AH13"/>
    <mergeCell ref="AQ12:AR12"/>
    <mergeCell ref="AS12:AT12"/>
    <mergeCell ref="AU12:AV12"/>
    <mergeCell ref="AQ4:AR4"/>
  </mergeCells>
  <conditionalFormatting sqref="C89:D89 D87:D88 C84:C88">
    <cfRule type="expression" priority="1" dxfId="0" stopIfTrue="1">
      <formula>#REF!</formula>
    </cfRule>
  </conditionalFormatting>
  <conditionalFormatting sqref="AM15:AM89">
    <cfRule type="expression" priority="2" dxfId="1" stopIfTrue="1">
      <formula>"c5=""R"""</formula>
    </cfRule>
  </conditionalFormatting>
  <conditionalFormatting sqref="R15:R89">
    <cfRule type="cellIs" priority="3" dxfId="2" operator="equal" stopIfTrue="1">
      <formula>$P$101</formula>
    </cfRule>
  </conditionalFormatting>
  <conditionalFormatting sqref="H90">
    <cfRule type="cellIs" priority="4" dxfId="3" operator="lessThan" stopIfTrue="1">
      <formula>AE90</formula>
    </cfRule>
  </conditionalFormatting>
  <conditionalFormatting sqref="P15:P90">
    <cfRule type="cellIs" priority="5" dxfId="4" operator="lessThan" stopIfTrue="1">
      <formula>H15</formula>
    </cfRule>
  </conditionalFormatting>
  <conditionalFormatting sqref="S15:S90">
    <cfRule type="cellIs" priority="6" dxfId="2" operator="greaterThan" stopIfTrue="1">
      <formula>$S$10</formula>
    </cfRule>
  </conditionalFormatting>
  <dataValidations count="7">
    <dataValidation type="list" allowBlank="1" showInputMessage="1" showErrorMessage="1" sqref="N15:N89">
      <formula1>SECC_NORM</formula1>
    </dataValidation>
    <dataValidation type="list" allowBlank="1" showInputMessage="1" showErrorMessage="1" sqref="K10:M10">
      <formula1>$J$96:$J$97</formula1>
    </dataValidation>
    <dataValidation type="list" allowBlank="1" showInputMessage="1" showErrorMessage="1" sqref="M15:M90">
      <formula1>$K$96:$K$97</formula1>
    </dataValidation>
    <dataValidation type="list" allowBlank="1" showInputMessage="1" showErrorMessage="1" sqref="J15:J16 J17:J90">
      <formula1>$M$96:$M$99</formula1>
    </dataValidation>
    <dataValidation type="list" allowBlank="1" showInputMessage="1" showErrorMessage="1" sqref="K15:K90">
      <formula1>$L$96:$L$106</formula1>
    </dataValidation>
    <dataValidation sqref="E15:E83"/>
    <dataValidation type="list" showInputMessage="1" showErrorMessage="1" sqref="E9:H9">
      <formula1>SECC_NORM</formula1>
    </dataValidation>
  </dataValidations>
  <printOptions/>
  <pageMargins left="0.4330708661417323" right="0.5511811023622047" top="0.5905511811023623" bottom="0.4330708661417323" header="0.2362204724409449" footer="0.2362204724409449"/>
  <pageSetup fitToHeight="0" fitToWidth="2" orientation="landscape" pageOrder="overThenDown" paperSize="9" scale="72"/>
  <headerFooter alignWithMargins="0">
    <oddHeader>&amp;LSTS TERMONOVA SLP&amp;Rwww.stsproyectos.com</oddHeader>
    <oddFooter>&amp;L&amp;9© NRM 2011-2017&amp;C&amp;9&amp;A&amp;R&amp;9Cálculo fasorial de intensidades y caídas de tensión</oddFooter>
  </headerFooter>
  <colBreaks count="1" manualBreakCount="1">
    <brk id="19" max="8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Fermín Rodriguez Mata</dc:creator>
  <cp:keywords/>
  <dc:description/>
  <cp:lastModifiedBy>N.R.M.</cp:lastModifiedBy>
  <cp:lastPrinted>2017-06-30T08:11:29Z</cp:lastPrinted>
  <dcterms:created xsi:type="dcterms:W3CDTF">2002-10-13T11:31:54Z</dcterms:created>
  <dcterms:modified xsi:type="dcterms:W3CDTF">2008-07-16T21:10:09Z</dcterms:modified>
  <cp:category/>
  <cp:version/>
  <cp:contentType/>
  <cp:contentStatus/>
</cp:coreProperties>
</file>